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5"/>
  <workbookPr codeName="ThisWorkbook" defaultThemeVersion="124226"/>
  <mc:AlternateContent xmlns:mc="http://schemas.openxmlformats.org/markup-compatibility/2006">
    <mc:Choice Requires="x15">
      <x15ac:absPath xmlns:x15ac="http://schemas.microsoft.com/office/spreadsheetml/2010/11/ac" url="C:\Users\waleed.kharoub\OneDrive - Palijara\Desktop\waleed ijara\النموذج\"/>
    </mc:Choice>
  </mc:AlternateContent>
  <xr:revisionPtr revIDLastSave="1" documentId="11_98674F55F4B20101D200B3AE1B19B368CAAB9093" xr6:coauthVersionLast="36" xr6:coauthVersionMax="36" xr10:uidLastSave="{EB93FD75-4C7B-4DC6-8B5B-9F815C63D96C}"/>
  <bookViews>
    <workbookView xWindow="-120" yWindow="-120" windowWidth="20730" windowHeight="11160" tabRatio="843" activeTab="1" xr2:uid="{00000000-000D-0000-FFFF-FFFF00000000}"/>
  </bookViews>
  <sheets>
    <sheet name="الهيئة" sheetId="75" r:id="rId1"/>
    <sheet name="التوصية" sheetId="28" r:id="rId2"/>
    <sheet name="RISK FORM" sheetId="76" r:id="rId3"/>
    <sheet name="كعاكيش" sheetId="73" state="hidden" r:id="rId4"/>
    <sheet name="ملخص old" sheetId="62" state="hidden" r:id="rId5"/>
    <sheet name="ملخص old1" sheetId="70" state="hidden" r:id="rId6"/>
    <sheet name="الأصل" sheetId="22" r:id="rId7"/>
    <sheet name="الحاسبة" sheetId="40" r:id="rId8"/>
    <sheet name="الحساب البنكي" sheetId="39" r:id="rId9"/>
    <sheet name="الاستعلام" sheetId="21" r:id="rId10"/>
    <sheet name="تحليل الائتمان" sheetId="42" state="hidden" r:id="rId11"/>
    <sheet name="بيانات للادخال" sheetId="36" r:id="rId12"/>
    <sheet name="مدخلات العقود" sheetId="44" r:id="rId13"/>
    <sheet name="تدقيق التوقيع" sheetId="74" r:id="rId14"/>
    <sheet name="عرض سعر + سند قبض" sheetId="58" r:id="rId15"/>
    <sheet name="جدول السداد" sheetId="41" r:id="rId16"/>
    <sheet name="تفقيط" sheetId="61" state="hidden" r:id="rId17"/>
    <sheet name="وكالة شراء العين" sheetId="60" r:id="rId18"/>
    <sheet name="عقود الزبون" sheetId="45" r:id="rId19"/>
    <sheet name="عقود الزبون والكفلاء" sheetId="47" r:id="rId20"/>
    <sheet name="الكمبيالات" sheetId="50" r:id="rId21"/>
    <sheet name="عقد التوريد" sheetId="48" r:id="rId22"/>
    <sheet name="rows height" sheetId="46" state="hidden" r:id="rId23"/>
    <sheet name="التسليم والقبول" sheetId="49" r:id="rId24"/>
    <sheet name="طلب الشيكات" sheetId="56" r:id="rId25"/>
    <sheet name="مرابحة الاسلامي العربي" sheetId="57" state="hidden" r:id="rId26"/>
    <sheet name="تفويض الترخيص" sheetId="51" r:id="rId27"/>
    <sheet name="تعهد بالدفع" sheetId="53" r:id="rId28"/>
    <sheet name="الحوالة" sheetId="55" r:id="rId29"/>
    <sheet name="معاير الائتمان" sheetId="43" r:id="rId30"/>
    <sheet name="تاريخ التعامل مع شركة الاجارة" sheetId="24" state="hidden" r:id="rId31"/>
  </sheets>
  <externalReferences>
    <externalReference r:id="rId32"/>
    <externalReference r:id="rId33"/>
    <externalReference r:id="rId34"/>
    <externalReference r:id="rId35"/>
    <externalReference r:id="rId36"/>
    <externalReference r:id="rId37"/>
    <externalReference r:id="rId38"/>
  </externalReferences>
  <definedNames>
    <definedName name="_DV_M127" localSheetId="17">'وكالة شراء العين'!$A$104</definedName>
    <definedName name="_DV_M132" localSheetId="17">'وكالة شراء العين'!$C$105</definedName>
    <definedName name="_DV_M133" localSheetId="17">'وكالة شراء العين'!$A$110</definedName>
    <definedName name="_DV_M84" localSheetId="17">'وكالة شراء العين'!$A$75</definedName>
    <definedName name="_Hlk508805426" localSheetId="17">'وكالة شراء العين'!$A$1</definedName>
    <definedName name="EUR" localSheetId="13">'[1]بيانات للادخال'!$A$4</definedName>
    <definedName name="EUR">'بيانات للادخال'!$A$4</definedName>
    <definedName name="eurrate" localSheetId="13">'[1]بيانات للادخال'!$C$2</definedName>
    <definedName name="eurrate">'بيانات للادخال'!$C$2</definedName>
    <definedName name="FC" localSheetId="13">[1]التوصية!$B$281</definedName>
    <definedName name="FC">التوصية!$B$279</definedName>
    <definedName name="FCA" localSheetId="13">[1]التوصية!$B$282</definedName>
    <definedName name="FCA">التوصية!$B$280</definedName>
    <definedName name="ILS" localSheetId="13">'[1]بيانات للادخال'!$A$3</definedName>
    <definedName name="ILS">'بيانات للادخال'!$A$3</definedName>
    <definedName name="jodrate" localSheetId="13">'[1]بيانات للادخال'!$C$3</definedName>
    <definedName name="jodrate">'بيانات للادخال'!$C$3</definedName>
    <definedName name="month">[2]IRR!$C$36:$C$47</definedName>
    <definedName name="PNAVAT" localSheetId="7">الحاسبة!$C$6</definedName>
    <definedName name="PNAVAT" localSheetId="13">'[1]بيانات للادخال'!$E$2</definedName>
    <definedName name="PNAVAT">'بيانات للادخال'!$E$2</definedName>
    <definedName name="_xlnm.Print_Area" localSheetId="22">'rows height'!$A$1:$T$30</definedName>
    <definedName name="_xlnm.Print_Area" localSheetId="23">'التسليم والقبول'!$A$1:$D$44</definedName>
    <definedName name="_xlnm.Print_Area" localSheetId="1">التوصية!$A$1:$D$406</definedName>
    <definedName name="_xlnm.Print_Area" localSheetId="7">الحاسبة!$BK$84:$BM$88</definedName>
    <definedName name="_xlnm.Print_Area" localSheetId="28">الحوالة!$A$1:$F$45</definedName>
    <definedName name="_xlnm.Print_Area" localSheetId="20">الكمبيالات!$A$1:$D$75</definedName>
    <definedName name="_xlnm.Print_Area" localSheetId="10">'تحليل الائتمان'!$A$1:$G$54</definedName>
    <definedName name="_xlnm.Print_Area" localSheetId="27">'تعهد بالدفع'!$A$1:$C$14</definedName>
    <definedName name="_xlnm.Print_Area" localSheetId="26">'تفويض الترخيص'!$A$1:$C$20</definedName>
    <definedName name="_xlnm.Print_Area" localSheetId="15">'جدول السداد'!$A$1:$O$43</definedName>
    <definedName name="_xlnm.Print_Area" localSheetId="21">'عقد التوريد'!$A$1:$D$158</definedName>
    <definedName name="_xlnm.Print_Area" localSheetId="18">'عقود الزبون'!$A$1:$D$282</definedName>
    <definedName name="_xlnm.Print_Area" localSheetId="19">'عقود الزبون والكفلاء'!$A$1:$D$829</definedName>
    <definedName name="_xlnm.Print_Area" localSheetId="25">'مرابحة الاسلامي العربي'!$A$1:$I$54</definedName>
    <definedName name="_xlnm.Print_Area" localSheetId="4">'ملخص old'!$A$1:$H$188</definedName>
    <definedName name="_xlnm.Print_Area" localSheetId="5">'ملخص old1'!$A$1:$H$111</definedName>
    <definedName name="_xlnm.Print_Titles" localSheetId="1">التوصية!$1:$1</definedName>
    <definedName name="_xlnm.Print_Titles" localSheetId="4">'ملخص old'!$1:$2</definedName>
    <definedName name="_xlnm.Print_Titles" localSheetId="5">'ملخص old1'!$1:$2</definedName>
    <definedName name="tenor" localSheetId="13">[1]التوصية!$D$282</definedName>
    <definedName name="tenor">التوصية!$D$280</definedName>
    <definedName name="USD" localSheetId="13">'[1]بيانات للادخال'!$A$2</definedName>
    <definedName name="USD">'بيانات للادخال'!$A$2</definedName>
    <definedName name="usdrate" localSheetId="13">'[1]بيانات للادخال'!$C$4</definedName>
    <definedName name="usdrate">'بيانات للادخال'!$C$4</definedName>
  </definedNames>
  <calcPr calcId="191029"/>
</workbook>
</file>

<file path=xl/calcChain.xml><?xml version="1.0" encoding="utf-8"?>
<calcChain xmlns="http://schemas.openxmlformats.org/spreadsheetml/2006/main">
  <c r="B99" i="76" l="1"/>
  <c r="B98" i="76"/>
  <c r="B97" i="76"/>
  <c r="B96" i="76"/>
  <c r="B95" i="76"/>
  <c r="B94" i="76"/>
  <c r="B92" i="76"/>
  <c r="C80" i="76"/>
  <c r="C26" i="76"/>
  <c r="C22" i="76"/>
  <c r="C23" i="76" s="1"/>
  <c r="F15" i="76"/>
  <c r="F14" i="76"/>
  <c r="F13" i="76"/>
  <c r="F12" i="76"/>
  <c r="F11" i="76"/>
  <c r="F10" i="76"/>
  <c r="F9" i="76"/>
  <c r="F8" i="76"/>
  <c r="F7" i="76"/>
  <c r="F6" i="76"/>
  <c r="F5" i="76"/>
  <c r="D19" i="76" s="1"/>
  <c r="F4" i="76"/>
  <c r="E20" i="76" s="1"/>
  <c r="C2" i="76"/>
  <c r="E1" i="76"/>
  <c r="D21" i="76" l="1"/>
  <c r="E19" i="76"/>
  <c r="E21" i="76"/>
  <c r="D18" i="76"/>
  <c r="D20" i="76"/>
  <c r="E18" i="76"/>
  <c r="G18" i="44"/>
  <c r="G17" i="44"/>
  <c r="E22" i="76" l="1"/>
  <c r="E23" i="76" s="1"/>
  <c r="D22" i="76"/>
  <c r="H12" i="44"/>
  <c r="A8" i="51"/>
  <c r="C28" i="76" l="1"/>
  <c r="C29" i="76" s="1"/>
  <c r="C25" i="76" s="1"/>
  <c r="D23" i="76"/>
  <c r="F4" i="22"/>
  <c r="B4" i="22"/>
  <c r="B272" i="28" l="1"/>
  <c r="C272" i="28"/>
  <c r="C11" i="75" l="1"/>
  <c r="C10" i="75"/>
  <c r="A2" i="75" l="1"/>
  <c r="A620" i="47" l="1"/>
  <c r="S64" i="41" l="1"/>
  <c r="S65" i="41"/>
  <c r="S66" i="41"/>
  <c r="D57" i="28" l="1"/>
  <c r="A826" i="47" l="1"/>
  <c r="A759" i="47"/>
  <c r="A681" i="47"/>
  <c r="A676" i="47"/>
  <c r="B1" i="28" l="1"/>
  <c r="A373" i="28" l="1"/>
  <c r="A372" i="28"/>
  <c r="A369" i="28"/>
  <c r="A368" i="28"/>
  <c r="A365" i="28"/>
  <c r="A364" i="28"/>
  <c r="A363" i="28"/>
  <c r="A362" i="28"/>
  <c r="A361" i="28"/>
  <c r="A360" i="28"/>
  <c r="A359" i="28"/>
  <c r="A358" i="28"/>
  <c r="A339" i="28"/>
  <c r="A338" i="28"/>
  <c r="A337" i="28"/>
  <c r="A336" i="28"/>
  <c r="A335" i="28"/>
  <c r="A334" i="28"/>
  <c r="A333" i="28"/>
  <c r="A332" i="28"/>
  <c r="A331" i="28"/>
  <c r="A330" i="28"/>
  <c r="A329" i="28"/>
  <c r="A327" i="28"/>
  <c r="A326" i="28"/>
  <c r="A325" i="28"/>
  <c r="A320" i="28"/>
  <c r="A319" i="28"/>
  <c r="A318" i="28"/>
  <c r="A316" i="28"/>
  <c r="A312" i="28"/>
  <c r="A309" i="28"/>
  <c r="A307" i="28"/>
  <c r="A304" i="28"/>
  <c r="A303" i="28"/>
  <c r="D28" i="28" l="1"/>
  <c r="J13" i="28"/>
  <c r="N119" i="28"/>
  <c r="C270" i="28"/>
  <c r="Z27" i="70" l="1"/>
  <c r="Z29" i="70"/>
  <c r="Z31" i="70"/>
  <c r="Z33" i="70"/>
  <c r="Z35" i="70"/>
  <c r="Z25" i="70"/>
  <c r="R24" i="70" l="1"/>
  <c r="R9" i="70"/>
  <c r="J24" i="70"/>
  <c r="J9" i="70"/>
  <c r="B9" i="70"/>
  <c r="A86" i="70"/>
  <c r="A85" i="70"/>
  <c r="A82" i="70"/>
  <c r="A81" i="70"/>
  <c r="A74" i="70"/>
  <c r="A73" i="70"/>
  <c r="A72" i="70"/>
  <c r="A71" i="70"/>
  <c r="A59" i="70"/>
  <c r="A58" i="70"/>
  <c r="A57" i="70"/>
  <c r="A55" i="70"/>
  <c r="A51" i="70"/>
  <c r="A48" i="70"/>
  <c r="A46" i="70"/>
  <c r="AE26" i="70"/>
  <c r="R111" i="70"/>
  <c r="AE25" i="70"/>
  <c r="S110" i="70"/>
  <c r="AB25" i="70" s="1"/>
  <c r="AD25" i="70" s="1"/>
  <c r="AE24" i="70"/>
  <c r="S109" i="70"/>
  <c r="AB24" i="70" s="1"/>
  <c r="AD24" i="70" s="1"/>
  <c r="R109" i="70"/>
  <c r="AE23" i="70"/>
  <c r="AE22" i="70"/>
  <c r="AE21" i="70"/>
  <c r="AE20" i="70"/>
  <c r="AE19" i="70"/>
  <c r="AE18" i="70"/>
  <c r="AE17" i="70"/>
  <c r="AE16" i="70"/>
  <c r="AE15" i="70"/>
  <c r="AE14" i="70"/>
  <c r="AE13" i="70"/>
  <c r="AE12" i="70"/>
  <c r="AE11" i="70"/>
  <c r="AB11" i="70"/>
  <c r="AD11" i="70" s="1"/>
  <c r="W36" i="70"/>
  <c r="T36" i="70"/>
  <c r="V36" i="70" s="1"/>
  <c r="S37" i="70"/>
  <c r="W35" i="70"/>
  <c r="W34" i="70"/>
  <c r="W33" i="70"/>
  <c r="W32" i="70"/>
  <c r="S33" i="70"/>
  <c r="T32" i="70" s="1"/>
  <c r="V32" i="70" s="1"/>
  <c r="W31" i="70"/>
  <c r="W30" i="70"/>
  <c r="W29" i="70"/>
  <c r="S30" i="70"/>
  <c r="W28" i="70"/>
  <c r="S29" i="70"/>
  <c r="T28" i="70" s="1"/>
  <c r="V28" i="70" s="1"/>
  <c r="W27" i="70"/>
  <c r="W26" i="70"/>
  <c r="T26" i="70"/>
  <c r="V26" i="70" s="1"/>
  <c r="S27" i="70"/>
  <c r="W25" i="70"/>
  <c r="S26" i="70"/>
  <c r="T25" i="70" s="1"/>
  <c r="V25" i="70" s="1"/>
  <c r="Q26" i="70"/>
  <c r="W24" i="70"/>
  <c r="W22" i="70"/>
  <c r="T22" i="70"/>
  <c r="V22" i="70" s="1"/>
  <c r="S23" i="70"/>
  <c r="W21" i="70"/>
  <c r="W20" i="70"/>
  <c r="W19" i="70"/>
  <c r="W18" i="70"/>
  <c r="S19" i="70"/>
  <c r="T18" i="70" s="1"/>
  <c r="V18" i="70" s="1"/>
  <c r="W17" i="70"/>
  <c r="W16" i="70"/>
  <c r="W15" i="70"/>
  <c r="S16" i="70"/>
  <c r="W14" i="70"/>
  <c r="S15" i="70"/>
  <c r="T14" i="70" s="1"/>
  <c r="V14" i="70" s="1"/>
  <c r="W13" i="70"/>
  <c r="W12" i="70"/>
  <c r="T12" i="70"/>
  <c r="V12" i="70" s="1"/>
  <c r="S13" i="70"/>
  <c r="W11" i="70"/>
  <c r="S12" i="70"/>
  <c r="T11" i="70" s="1"/>
  <c r="V11" i="70" s="1"/>
  <c r="Q12" i="70"/>
  <c r="W10" i="70"/>
  <c r="O37" i="70"/>
  <c r="L37" i="70"/>
  <c r="N37" i="70" s="1"/>
  <c r="K37" i="70"/>
  <c r="O36" i="70"/>
  <c r="O35" i="70"/>
  <c r="O34" i="70"/>
  <c r="O33" i="70"/>
  <c r="K33" i="70"/>
  <c r="L33" i="70" s="1"/>
  <c r="N33" i="70" s="1"/>
  <c r="P33" i="70" s="1"/>
  <c r="O32" i="70"/>
  <c r="O31" i="70"/>
  <c r="O30" i="70"/>
  <c r="O29" i="70"/>
  <c r="K29" i="70"/>
  <c r="L29" i="70" s="1"/>
  <c r="N29" i="70" s="1"/>
  <c r="O28" i="70"/>
  <c r="O27" i="70"/>
  <c r="L27" i="70"/>
  <c r="N27" i="70" s="1"/>
  <c r="K27" i="70"/>
  <c r="O26" i="70"/>
  <c r="K26" i="70"/>
  <c r="L26" i="70" s="1"/>
  <c r="N26" i="70" s="1"/>
  <c r="I26" i="70"/>
  <c r="O25" i="70"/>
  <c r="O23" i="70"/>
  <c r="L23" i="70"/>
  <c r="N23" i="70" s="1"/>
  <c r="K23" i="70"/>
  <c r="O22" i="70"/>
  <c r="O21" i="70"/>
  <c r="O20" i="70"/>
  <c r="O19" i="70"/>
  <c r="K19" i="70"/>
  <c r="L19" i="70" s="1"/>
  <c r="N19" i="70" s="1"/>
  <c r="O18" i="70"/>
  <c r="O17" i="70"/>
  <c r="O16" i="70"/>
  <c r="O15" i="70"/>
  <c r="K15" i="70"/>
  <c r="L15" i="70" s="1"/>
  <c r="N15" i="70" s="1"/>
  <c r="O14" i="70"/>
  <c r="O13" i="70"/>
  <c r="L13" i="70"/>
  <c r="N13" i="70" s="1"/>
  <c r="K13" i="70"/>
  <c r="O12" i="70"/>
  <c r="K12" i="70"/>
  <c r="L12" i="70" s="1"/>
  <c r="N12" i="70" s="1"/>
  <c r="I12" i="70"/>
  <c r="O11" i="70"/>
  <c r="G29" i="70"/>
  <c r="D29" i="70"/>
  <c r="F29" i="70" s="1"/>
  <c r="C29" i="70"/>
  <c r="G28" i="70"/>
  <c r="C28" i="70"/>
  <c r="D28" i="70" s="1"/>
  <c r="F28" i="70" s="1"/>
  <c r="G27" i="70"/>
  <c r="C27" i="70"/>
  <c r="D27" i="70" s="1"/>
  <c r="F27" i="70" s="1"/>
  <c r="G26" i="70"/>
  <c r="G25" i="70"/>
  <c r="G24" i="70"/>
  <c r="G23" i="70"/>
  <c r="G22" i="70"/>
  <c r="C22" i="70"/>
  <c r="D22" i="70" s="1"/>
  <c r="F22" i="70" s="1"/>
  <c r="G21" i="70"/>
  <c r="C21" i="70"/>
  <c r="D21" i="70" s="1"/>
  <c r="F21" i="70" s="1"/>
  <c r="G20" i="70"/>
  <c r="G19" i="70"/>
  <c r="G18" i="70"/>
  <c r="G17" i="70"/>
  <c r="C17" i="70"/>
  <c r="D17" i="70" s="1"/>
  <c r="F17" i="70" s="1"/>
  <c r="G16" i="70"/>
  <c r="G15" i="70"/>
  <c r="D15" i="70"/>
  <c r="F15" i="70" s="1"/>
  <c r="C15" i="70"/>
  <c r="G14" i="70"/>
  <c r="C14" i="70"/>
  <c r="D14" i="70" s="1"/>
  <c r="F14" i="70" s="1"/>
  <c r="G13" i="70"/>
  <c r="C13" i="70"/>
  <c r="D13" i="70" s="1"/>
  <c r="F13" i="70" s="1"/>
  <c r="G12" i="70"/>
  <c r="C12" i="70"/>
  <c r="D12" i="70" s="1"/>
  <c r="F12" i="70" s="1"/>
  <c r="G11" i="70"/>
  <c r="H6" i="70"/>
  <c r="G6" i="70" s="1"/>
  <c r="H4" i="70"/>
  <c r="H7" i="70" s="1"/>
  <c r="F4" i="70"/>
  <c r="F5" i="70" s="1"/>
  <c r="F6" i="70" s="1"/>
  <c r="G3" i="70"/>
  <c r="F3" i="70"/>
  <c r="E3" i="70"/>
  <c r="D3" i="70"/>
  <c r="C3" i="70"/>
  <c r="B3" i="70"/>
  <c r="F1" i="70"/>
  <c r="E1" i="70"/>
  <c r="D1" i="70"/>
  <c r="C1" i="70"/>
  <c r="B1" i="70"/>
  <c r="A1" i="70"/>
  <c r="P26" i="70" l="1"/>
  <c r="H12" i="70"/>
  <c r="H14" i="70"/>
  <c r="H21" i="70"/>
  <c r="AF11" i="70"/>
  <c r="H15" i="70"/>
  <c r="AF24" i="70"/>
  <c r="P15" i="70"/>
  <c r="X12" i="70"/>
  <c r="P13" i="70"/>
  <c r="H29" i="70"/>
  <c r="P29" i="70"/>
  <c r="P37" i="70"/>
  <c r="X18" i="70"/>
  <c r="X28" i="70"/>
  <c r="X36" i="70"/>
  <c r="H17" i="70"/>
  <c r="P27" i="70"/>
  <c r="X25" i="70"/>
  <c r="H13" i="70"/>
  <c r="H28" i="70"/>
  <c r="P12" i="70"/>
  <c r="H22" i="70"/>
  <c r="X11" i="70"/>
  <c r="X32" i="70"/>
  <c r="F7" i="70"/>
  <c r="H27" i="70"/>
  <c r="P23" i="70"/>
  <c r="X14" i="70"/>
  <c r="X26" i="70"/>
  <c r="P19" i="70"/>
  <c r="X22" i="70"/>
  <c r="AF25" i="70"/>
  <c r="H6" i="62" l="1"/>
  <c r="D164" i="28"/>
  <c r="D158" i="28"/>
  <c r="D152" i="28"/>
  <c r="D146" i="28"/>
  <c r="D134" i="28"/>
  <c r="D128" i="28"/>
  <c r="D122" i="28"/>
  <c r="D116" i="28"/>
  <c r="D104" i="28"/>
  <c r="D98" i="28"/>
  <c r="D92" i="28"/>
  <c r="D86" i="28"/>
  <c r="D74" i="28"/>
  <c r="D68" i="28"/>
  <c r="D62" i="28"/>
  <c r="D56" i="28"/>
  <c r="D40" i="28"/>
  <c r="D34" i="28"/>
  <c r="K14" i="70" l="1"/>
  <c r="L14" i="70" s="1"/>
  <c r="N14" i="70" s="1"/>
  <c r="P14" i="70" s="1"/>
  <c r="K28" i="70"/>
  <c r="L28" i="70" s="1"/>
  <c r="N28" i="70" s="1"/>
  <c r="P28" i="70" s="1"/>
  <c r="S14" i="70"/>
  <c r="T13" i="70" s="1"/>
  <c r="V13" i="70" s="1"/>
  <c r="X13" i="70" s="1"/>
  <c r="S28" i="70"/>
  <c r="T27" i="70" s="1"/>
  <c r="V27" i="70" s="1"/>
  <c r="X27" i="70" s="1"/>
  <c r="G6" i="62"/>
  <c r="D22" i="28"/>
  <c r="C16" i="70" l="1"/>
  <c r="D16" i="70" s="1"/>
  <c r="F16" i="70" s="1"/>
  <c r="H16" i="70" s="1"/>
  <c r="C16" i="62"/>
  <c r="D16" i="62" s="1"/>
  <c r="A70" i="62" l="1"/>
  <c r="A57" i="62"/>
  <c r="A44" i="62"/>
  <c r="A31" i="62"/>
  <c r="C42" i="62" l="1"/>
  <c r="D1" i="62"/>
  <c r="D81" i="62" l="1"/>
  <c r="F81" i="62" s="1"/>
  <c r="C81" i="62"/>
  <c r="G81" i="62"/>
  <c r="D68" i="62"/>
  <c r="F68" i="62" s="1"/>
  <c r="D55" i="62"/>
  <c r="F55" i="62" s="1"/>
  <c r="C55" i="62"/>
  <c r="C68" i="62"/>
  <c r="G68" i="62"/>
  <c r="G55" i="62"/>
  <c r="G42" i="62"/>
  <c r="D42" i="62"/>
  <c r="F42" i="62" s="1"/>
  <c r="D29" i="62"/>
  <c r="F29" i="62" s="1"/>
  <c r="G29" i="62"/>
  <c r="G72" i="62"/>
  <c r="G59" i="62"/>
  <c r="G46" i="62"/>
  <c r="G33" i="62"/>
  <c r="C29" i="62"/>
  <c r="G15" i="62"/>
  <c r="G11" i="62"/>
  <c r="G16" i="62"/>
  <c r="C72" i="62"/>
  <c r="D72" i="62" s="1"/>
  <c r="C59" i="62"/>
  <c r="D59" i="62" s="1"/>
  <c r="C46" i="62"/>
  <c r="D46" i="62" s="1"/>
  <c r="C28" i="62"/>
  <c r="D28" i="62" s="1"/>
  <c r="G12" i="62"/>
  <c r="G13" i="62"/>
  <c r="G14" i="62"/>
  <c r="G17" i="62"/>
  <c r="G18" i="62"/>
  <c r="G19" i="62"/>
  <c r="G20" i="62"/>
  <c r="G21" i="62"/>
  <c r="G22" i="62"/>
  <c r="G23" i="62"/>
  <c r="G24" i="62"/>
  <c r="G25" i="62"/>
  <c r="G26" i="62"/>
  <c r="G27" i="62"/>
  <c r="G28" i="62"/>
  <c r="C27" i="62"/>
  <c r="D27" i="62" s="1"/>
  <c r="H81" i="62" l="1"/>
  <c r="C33" i="62"/>
  <c r="H55" i="62"/>
  <c r="H68" i="62"/>
  <c r="H42" i="62"/>
  <c r="H29" i="62"/>
  <c r="F72" i="62"/>
  <c r="H72" i="62" s="1"/>
  <c r="F59" i="62"/>
  <c r="H59" i="62" s="1"/>
  <c r="F46" i="62"/>
  <c r="H46" i="62" s="1"/>
  <c r="F28" i="62"/>
  <c r="H28" i="62" s="1"/>
  <c r="F27" i="62"/>
  <c r="H27" i="62" s="1"/>
  <c r="D33" i="62" l="1"/>
  <c r="F33" i="62" s="1"/>
  <c r="H33" i="62" s="1"/>
  <c r="E1" i="62"/>
  <c r="C1" i="62"/>
  <c r="A1" i="62"/>
  <c r="F1" i="62"/>
  <c r="B1" i="62"/>
  <c r="H4" i="62"/>
  <c r="H7" i="62" s="1"/>
  <c r="G96" i="62"/>
  <c r="G97" i="62"/>
  <c r="G95" i="62"/>
  <c r="G83" i="62"/>
  <c r="G84" i="62"/>
  <c r="G85" i="62"/>
  <c r="G86" i="62"/>
  <c r="G87" i="62"/>
  <c r="G88" i="62"/>
  <c r="G89" i="62"/>
  <c r="G90" i="62"/>
  <c r="G91" i="62"/>
  <c r="G92" i="62"/>
  <c r="G93" i="62"/>
  <c r="G94" i="62"/>
  <c r="G82" i="62"/>
  <c r="C96" i="62"/>
  <c r="D96" i="62" s="1"/>
  <c r="C95" i="62"/>
  <c r="D95" i="62" s="1"/>
  <c r="F95" i="62" s="1"/>
  <c r="B97" i="62"/>
  <c r="B95" i="62"/>
  <c r="A409" i="28"/>
  <c r="A144" i="62"/>
  <c r="A143" i="62"/>
  <c r="A140" i="62"/>
  <c r="A139" i="62"/>
  <c r="A132" i="62"/>
  <c r="A131" i="62"/>
  <c r="A130" i="62"/>
  <c r="A129" i="62"/>
  <c r="A117" i="62"/>
  <c r="A116" i="62"/>
  <c r="A115" i="62"/>
  <c r="A113" i="62"/>
  <c r="A109" i="62"/>
  <c r="A106" i="62"/>
  <c r="A104" i="62"/>
  <c r="R110" i="70" l="1"/>
  <c r="B96" i="62"/>
  <c r="H95" i="62"/>
  <c r="F96" i="62"/>
  <c r="H96" i="62" s="1"/>
  <c r="G3" i="62"/>
  <c r="F3" i="62"/>
  <c r="E3" i="62"/>
  <c r="D3" i="62"/>
  <c r="C3" i="62"/>
  <c r="B3" i="62"/>
  <c r="D15" i="62"/>
  <c r="G73" i="62" l="1"/>
  <c r="G74" i="62"/>
  <c r="G75" i="62"/>
  <c r="G76" i="62"/>
  <c r="G77" i="62"/>
  <c r="G78" i="62"/>
  <c r="G79" i="62"/>
  <c r="G80" i="62"/>
  <c r="G69" i="62"/>
  <c r="G70" i="62"/>
  <c r="G71" i="62"/>
  <c r="D71" i="62"/>
  <c r="F71" i="62" s="1"/>
  <c r="C71" i="62"/>
  <c r="G60" i="62"/>
  <c r="G61" i="62"/>
  <c r="G62" i="62"/>
  <c r="G63" i="62"/>
  <c r="G64" i="62"/>
  <c r="G65" i="62"/>
  <c r="G66" i="62"/>
  <c r="G67" i="62"/>
  <c r="G56" i="62"/>
  <c r="G57" i="62"/>
  <c r="G58" i="62"/>
  <c r="D58" i="62"/>
  <c r="F58" i="62" s="1"/>
  <c r="C58" i="62"/>
  <c r="C60" i="62"/>
  <c r="D60" i="62" s="1"/>
  <c r="F60" i="62" s="1"/>
  <c r="G47" i="62"/>
  <c r="G48" i="62"/>
  <c r="G49" i="62"/>
  <c r="G50" i="62"/>
  <c r="G51" i="62"/>
  <c r="G52" i="62"/>
  <c r="G53" i="62"/>
  <c r="G54" i="62"/>
  <c r="G43" i="62"/>
  <c r="G44" i="62"/>
  <c r="G45" i="62"/>
  <c r="D32" i="62"/>
  <c r="F32" i="62" s="1"/>
  <c r="D45" i="62"/>
  <c r="F45" i="62" s="1"/>
  <c r="C45" i="62"/>
  <c r="C32" i="62"/>
  <c r="G31" i="62"/>
  <c r="G32" i="62"/>
  <c r="G34" i="62"/>
  <c r="G35" i="62"/>
  <c r="G36" i="62"/>
  <c r="G37" i="62"/>
  <c r="G38" i="62"/>
  <c r="G39" i="62"/>
  <c r="G40" i="62"/>
  <c r="G41" i="62"/>
  <c r="G30" i="62"/>
  <c r="F15" i="62"/>
  <c r="H15" i="62" s="1"/>
  <c r="C15" i="62"/>
  <c r="H60" i="62" l="1"/>
  <c r="H71" i="62"/>
  <c r="H58" i="62"/>
  <c r="H45" i="62"/>
  <c r="H32" i="62"/>
  <c r="D82" i="62" l="1"/>
  <c r="F82" i="62" s="1"/>
  <c r="H82" i="62" s="1"/>
  <c r="C17" i="62"/>
  <c r="D8" i="28"/>
  <c r="A308" i="28" s="1"/>
  <c r="C22" i="62"/>
  <c r="C38" i="62"/>
  <c r="D38" i="62" s="1"/>
  <c r="F38" i="62" s="1"/>
  <c r="H38" i="62" s="1"/>
  <c r="C51" i="62"/>
  <c r="D51" i="62" s="1"/>
  <c r="F51" i="62" s="1"/>
  <c r="H51" i="62" s="1"/>
  <c r="C64" i="62"/>
  <c r="D64" i="62" s="1"/>
  <c r="F64" i="62" s="1"/>
  <c r="H64" i="62" s="1"/>
  <c r="C77" i="62"/>
  <c r="D77" i="62" s="1"/>
  <c r="F77" i="62" s="1"/>
  <c r="H77" i="62" s="1"/>
  <c r="C74" i="62"/>
  <c r="C73" i="62"/>
  <c r="D73" i="62" s="1"/>
  <c r="F73" i="62" s="1"/>
  <c r="H73" i="62" s="1"/>
  <c r="C70" i="62"/>
  <c r="D70" i="62" s="1"/>
  <c r="F70" i="62" s="1"/>
  <c r="H70" i="62" s="1"/>
  <c r="C61" i="62"/>
  <c r="C57" i="62"/>
  <c r="D57" i="62" s="1"/>
  <c r="F57" i="62" s="1"/>
  <c r="H57" i="62" s="1"/>
  <c r="C47" i="62"/>
  <c r="D47" i="62" s="1"/>
  <c r="F47" i="62" s="1"/>
  <c r="H47" i="62" s="1"/>
  <c r="C44" i="62"/>
  <c r="D44" i="62" s="1"/>
  <c r="F44" i="62" s="1"/>
  <c r="H44" i="62" s="1"/>
  <c r="C34" i="62"/>
  <c r="D34" i="62" s="1"/>
  <c r="F34" i="62" s="1"/>
  <c r="H34" i="62" s="1"/>
  <c r="C31" i="62"/>
  <c r="D31" i="62" s="1"/>
  <c r="F31" i="62" s="1"/>
  <c r="H31" i="62" s="1"/>
  <c r="A47" i="70" l="1"/>
  <c r="C11" i="70"/>
  <c r="A105" i="62"/>
  <c r="D22" i="62"/>
  <c r="F22" i="62" s="1"/>
  <c r="H22" i="62" s="1"/>
  <c r="D17" i="62"/>
  <c r="F17" i="62" s="1"/>
  <c r="H17" i="62" s="1"/>
  <c r="C21" i="62"/>
  <c r="D21" i="62" l="1"/>
  <c r="F21" i="62" s="1"/>
  <c r="H21" i="62" s="1"/>
  <c r="C14" i="62"/>
  <c r="C13" i="62"/>
  <c r="C12" i="62"/>
  <c r="D13" i="62" l="1"/>
  <c r="F13" i="62" s="1"/>
  <c r="H13" i="62" s="1"/>
  <c r="D14" i="62"/>
  <c r="F14" i="62" s="1"/>
  <c r="H14" i="62" s="1"/>
  <c r="D12" i="62"/>
  <c r="F12" i="62" s="1"/>
  <c r="H12" i="62" s="1"/>
  <c r="A36" i="45" l="1"/>
  <c r="A9" i="45"/>
  <c r="D12" i="44"/>
  <c r="A145" i="48"/>
  <c r="A66" i="48"/>
  <c r="C249" i="28" l="1"/>
  <c r="D26" i="45" l="1"/>
  <c r="A79" i="45"/>
  <c r="A69" i="45"/>
  <c r="A63" i="45"/>
  <c r="A62" i="45"/>
  <c r="C233" i="28" l="1"/>
  <c r="A39" i="43" l="1"/>
  <c r="A38" i="43"/>
  <c r="A37" i="43"/>
  <c r="A36" i="43"/>
  <c r="K61" i="39" l="1"/>
  <c r="H3" i="40"/>
  <c r="D281" i="28" l="1"/>
  <c r="D280" i="28"/>
  <c r="D282" i="28"/>
  <c r="E64" i="40"/>
  <c r="B281" i="28"/>
  <c r="B285" i="28"/>
  <c r="C1539" i="21"/>
  <c r="C1155" i="21"/>
  <c r="C771" i="21"/>
  <c r="CN5" i="39"/>
  <c r="K41" i="39"/>
  <c r="D11" i="70" l="1"/>
  <c r="F11" i="70" s="1"/>
  <c r="H11" i="70" s="1"/>
  <c r="AA17" i="70"/>
  <c r="AB17" i="70" s="1"/>
  <c r="AD17" i="70" s="1"/>
  <c r="AF17" i="70" s="1"/>
  <c r="AA20" i="70"/>
  <c r="AB20" i="70" s="1"/>
  <c r="AD20" i="70" s="1"/>
  <c r="AF20" i="70" s="1"/>
  <c r="AA16" i="70"/>
  <c r="AB16" i="70" s="1"/>
  <c r="AD16" i="70" s="1"/>
  <c r="AF16" i="70" s="1"/>
  <c r="AA15" i="70"/>
  <c r="AB15" i="70" s="1"/>
  <c r="AD15" i="70" s="1"/>
  <c r="AF15" i="70" s="1"/>
  <c r="C88" i="62"/>
  <c r="D88" i="62" s="1"/>
  <c r="F88" i="62" s="1"/>
  <c r="H88" i="62" s="1"/>
  <c r="C91" i="62"/>
  <c r="D91" i="62" s="1"/>
  <c r="F91" i="62" s="1"/>
  <c r="H91" i="62" s="1"/>
  <c r="C87" i="62"/>
  <c r="D87" i="62" s="1"/>
  <c r="F87" i="62" s="1"/>
  <c r="H87" i="62" s="1"/>
  <c r="C86" i="62"/>
  <c r="D86" i="62" s="1"/>
  <c r="F86" i="62" s="1"/>
  <c r="H86" i="62" s="1"/>
  <c r="A27" i="57"/>
  <c r="C2" i="51" l="1"/>
  <c r="A20" i="58"/>
  <c r="A1" i="58"/>
  <c r="A2" i="57"/>
  <c r="A1" i="56"/>
  <c r="C26" i="49"/>
  <c r="C4" i="49"/>
  <c r="A77" i="45"/>
  <c r="D53" i="45"/>
  <c r="A29" i="45"/>
  <c r="A2" i="45"/>
  <c r="A81" i="48"/>
  <c r="A2" i="48"/>
  <c r="A754" i="47"/>
  <c r="A69" i="47"/>
  <c r="A2" i="47"/>
  <c r="A405" i="47"/>
  <c r="A136" i="47"/>
  <c r="D4" i="44"/>
  <c r="A748" i="47"/>
  <c r="A2" i="60"/>
  <c r="D15" i="44"/>
  <c r="B88" i="47"/>
  <c r="B21" i="47"/>
  <c r="AS4" i="61" l="1"/>
  <c r="AS5" i="61" s="1"/>
  <c r="AN4" i="61"/>
  <c r="AI4" i="61"/>
  <c r="AI5" i="61" s="1"/>
  <c r="AD4" i="61"/>
  <c r="AD5" i="61" s="1"/>
  <c r="Y4" i="61"/>
  <c r="Y5" i="61" s="1"/>
  <c r="T4" i="61"/>
  <c r="T5" i="61" s="1"/>
  <c r="N4" i="61"/>
  <c r="N5" i="61" s="1"/>
  <c r="N6" i="61" s="1"/>
  <c r="K3" i="61"/>
  <c r="Q3" i="61" s="1"/>
  <c r="V3" i="61" s="1"/>
  <c r="AA3" i="61" s="1"/>
  <c r="AF3" i="61" s="1"/>
  <c r="AK3" i="61" s="1"/>
  <c r="AP3" i="61" s="1"/>
  <c r="AQ3" i="61" s="1"/>
  <c r="AR3" i="61" s="1"/>
  <c r="J4" i="61"/>
  <c r="J5" i="61" s="1"/>
  <c r="J6" i="61" s="1"/>
  <c r="J7" i="61" s="1"/>
  <c r="J8" i="61" s="1"/>
  <c r="J9" i="61" s="1"/>
  <c r="J10" i="61" s="1"/>
  <c r="J11" i="61" s="1"/>
  <c r="K11" i="61" s="1"/>
  <c r="Q11" i="61" s="1"/>
  <c r="V11" i="61" s="1"/>
  <c r="AA11" i="61" s="1"/>
  <c r="AF11" i="61" s="1"/>
  <c r="AK11" i="61" s="1"/>
  <c r="AP11" i="61" s="1"/>
  <c r="AQ11" i="61" s="1"/>
  <c r="AN5" i="61" l="1"/>
  <c r="AS6" i="61"/>
  <c r="AN6" i="61"/>
  <c r="AI6" i="61"/>
  <c r="AD6" i="61"/>
  <c r="Y6" i="61"/>
  <c r="T6" i="61"/>
  <c r="N7" i="61"/>
  <c r="W3" i="61"/>
  <c r="X3" i="61" s="1"/>
  <c r="W11" i="61"/>
  <c r="AG3" i="61"/>
  <c r="AG11" i="61"/>
  <c r="R3" i="61"/>
  <c r="S3" i="61" s="1"/>
  <c r="R11" i="61"/>
  <c r="AB3" i="61"/>
  <c r="AB11" i="61"/>
  <c r="AL3" i="61"/>
  <c r="AL11" i="61"/>
  <c r="L3" i="61"/>
  <c r="L11" i="61"/>
  <c r="K10" i="61"/>
  <c r="K5" i="61"/>
  <c r="K9" i="61"/>
  <c r="K4" i="61"/>
  <c r="K8" i="61"/>
  <c r="P3" i="61" s="1"/>
  <c r="K7" i="61"/>
  <c r="K6" i="61"/>
  <c r="P6" i="61" l="1"/>
  <c r="M3" i="61"/>
  <c r="AH3" i="61"/>
  <c r="P5" i="61"/>
  <c r="AM3" i="61"/>
  <c r="P7" i="61"/>
  <c r="AC3" i="61"/>
  <c r="P4" i="61"/>
  <c r="AS7" i="61"/>
  <c r="AN7" i="61"/>
  <c r="AI7" i="61"/>
  <c r="AD7" i="61"/>
  <c r="Y7" i="61"/>
  <c r="T7" i="61"/>
  <c r="N8" i="61"/>
  <c r="Q6" i="61"/>
  <c r="L6" i="61"/>
  <c r="Q7" i="61"/>
  <c r="L7" i="61"/>
  <c r="Q10" i="61"/>
  <c r="L10" i="61"/>
  <c r="Q9" i="61"/>
  <c r="L9" i="61"/>
  <c r="Q5" i="61"/>
  <c r="L5" i="61"/>
  <c r="Q8" i="61"/>
  <c r="L8" i="61"/>
  <c r="Q4" i="61"/>
  <c r="L4" i="61"/>
  <c r="A2" i="61"/>
  <c r="O7" i="61" l="1"/>
  <c r="O6" i="61"/>
  <c r="O8" i="61"/>
  <c r="P8" i="61"/>
  <c r="O4" i="61"/>
  <c r="AS8" i="61"/>
  <c r="AN8" i="61"/>
  <c r="AI8" i="61"/>
  <c r="AD8" i="61"/>
  <c r="Y8" i="61"/>
  <c r="T8" i="61"/>
  <c r="V4" i="61"/>
  <c r="R4" i="61"/>
  <c r="V5" i="61"/>
  <c r="R5" i="61"/>
  <c r="M4" i="61"/>
  <c r="O5" i="61" s="1"/>
  <c r="V9" i="61"/>
  <c r="R9" i="61"/>
  <c r="V7" i="61"/>
  <c r="R7" i="61"/>
  <c r="N9" i="61"/>
  <c r="V8" i="61"/>
  <c r="R8" i="61"/>
  <c r="V10" i="61"/>
  <c r="R10" i="61"/>
  <c r="V6" i="61"/>
  <c r="R6" i="61"/>
  <c r="A3" i="61"/>
  <c r="U7" i="61" l="1"/>
  <c r="O9" i="61"/>
  <c r="P9" i="61"/>
  <c r="S4" i="61"/>
  <c r="U3" i="61" s="1"/>
  <c r="U5" i="61"/>
  <c r="U6" i="61"/>
  <c r="AS9" i="61"/>
  <c r="AN9" i="61"/>
  <c r="AI9" i="61"/>
  <c r="AD9" i="61"/>
  <c r="Y9" i="61"/>
  <c r="T9" i="61"/>
  <c r="U8" i="61"/>
  <c r="N10" i="61"/>
  <c r="AA9" i="61"/>
  <c r="W9" i="61"/>
  <c r="S5" i="61"/>
  <c r="U4" i="61" s="1"/>
  <c r="AA6" i="61"/>
  <c r="W6" i="61"/>
  <c r="AA5" i="61"/>
  <c r="W5" i="61"/>
  <c r="X5" i="61" s="1"/>
  <c r="AA8" i="61"/>
  <c r="W8" i="61"/>
  <c r="AA7" i="61"/>
  <c r="W7" i="61"/>
  <c r="AA10" i="61"/>
  <c r="W10" i="61"/>
  <c r="M5" i="61"/>
  <c r="O3" i="61" s="1"/>
  <c r="AA4" i="61"/>
  <c r="W4" i="61"/>
  <c r="A4" i="61"/>
  <c r="X4" i="61" l="1"/>
  <c r="Z5" i="61"/>
  <c r="Z6" i="61"/>
  <c r="Z4" i="61"/>
  <c r="Z7" i="61"/>
  <c r="P10" i="61"/>
  <c r="O10" i="61"/>
  <c r="Z8" i="61"/>
  <c r="Z3" i="61"/>
  <c r="AS10" i="61"/>
  <c r="AN10" i="61"/>
  <c r="AI10" i="61"/>
  <c r="AD10" i="61"/>
  <c r="Z9" i="61"/>
  <c r="Y10" i="61"/>
  <c r="U9" i="61"/>
  <c r="T10" i="61"/>
  <c r="AF8" i="61"/>
  <c r="AB8" i="61"/>
  <c r="N11" i="61"/>
  <c r="AF10" i="61"/>
  <c r="AB10" i="61"/>
  <c r="M6" i="61"/>
  <c r="S6" i="61"/>
  <c r="AF7" i="61"/>
  <c r="AB7" i="61"/>
  <c r="AF5" i="61"/>
  <c r="AB5" i="61"/>
  <c r="AC5" i="61" s="1"/>
  <c r="AF9" i="61"/>
  <c r="AB9" i="61"/>
  <c r="AF4" i="61"/>
  <c r="AB4" i="61"/>
  <c r="X6" i="61"/>
  <c r="AF6" i="61"/>
  <c r="AB6" i="61"/>
  <c r="AC6" i="61" s="1"/>
  <c r="A5" i="61"/>
  <c r="M7" i="61" s="1"/>
  <c r="A15" i="60"/>
  <c r="AC4" i="61" l="1"/>
  <c r="AE5" i="61"/>
  <c r="AE4" i="61"/>
  <c r="AE6" i="61"/>
  <c r="AE3" i="61"/>
  <c r="AE7" i="61"/>
  <c r="AE8" i="61"/>
  <c r="P11" i="61"/>
  <c r="O11" i="61"/>
  <c r="O12" i="61" s="1"/>
  <c r="AE9" i="61"/>
  <c r="AS11" i="61"/>
  <c r="AN11" i="61"/>
  <c r="AI11" i="61"/>
  <c r="AE10" i="61"/>
  <c r="AD11" i="61"/>
  <c r="AE11" i="61" s="1"/>
  <c r="Y11" i="61"/>
  <c r="Z11" i="61" s="1"/>
  <c r="Z10" i="61"/>
  <c r="T11" i="61"/>
  <c r="U11" i="61" s="1"/>
  <c r="U10" i="61"/>
  <c r="U12" i="61" s="1"/>
  <c r="AK6" i="61"/>
  <c r="AG6" i="61"/>
  <c r="AH6" i="61" s="1"/>
  <c r="AK10" i="61"/>
  <c r="AG10" i="61"/>
  <c r="AK8" i="61"/>
  <c r="AG8" i="61"/>
  <c r="AK9" i="61"/>
  <c r="AG9" i="61"/>
  <c r="AK5" i="61"/>
  <c r="AG5" i="61"/>
  <c r="AH5" i="61" s="1"/>
  <c r="S7" i="61"/>
  <c r="AK4" i="61"/>
  <c r="AG4" i="61"/>
  <c r="AC7" i="61"/>
  <c r="X7" i="61"/>
  <c r="AK7" i="61"/>
  <c r="AG7" i="61"/>
  <c r="AH7" i="61" s="1"/>
  <c r="A6" i="61"/>
  <c r="S8" i="61" s="1"/>
  <c r="F4" i="55"/>
  <c r="D156" i="48"/>
  <c r="C156" i="48"/>
  <c r="D77" i="48"/>
  <c r="C77" i="48"/>
  <c r="D10" i="44"/>
  <c r="B156" i="48" s="1"/>
  <c r="A10" i="44"/>
  <c r="A156" i="48" s="1"/>
  <c r="AE12" i="61" l="1"/>
  <c r="Z12" i="61"/>
  <c r="AC8" i="61"/>
  <c r="AH4" i="61"/>
  <c r="AJ5" i="61"/>
  <c r="AJ6" i="61"/>
  <c r="AJ4" i="61"/>
  <c r="AJ3" i="61"/>
  <c r="AJ7" i="61"/>
  <c r="AJ8" i="61"/>
  <c r="AJ9" i="61"/>
  <c r="AJ10" i="61"/>
  <c r="M8" i="61"/>
  <c r="AJ11" i="61"/>
  <c r="AH8" i="61"/>
  <c r="AP10" i="61"/>
  <c r="AQ10" i="61" s="1"/>
  <c r="AL10" i="61"/>
  <c r="AP5" i="61"/>
  <c r="AQ5" i="61" s="1"/>
  <c r="AR5" i="61" s="1"/>
  <c r="AL5" i="61"/>
  <c r="AM5" i="61" s="1"/>
  <c r="AP8" i="61"/>
  <c r="AQ8" i="61" s="1"/>
  <c r="AR8" i="61" s="1"/>
  <c r="AL8" i="61"/>
  <c r="AM8" i="61" s="1"/>
  <c r="AP7" i="61"/>
  <c r="AQ7" i="61" s="1"/>
  <c r="AR7" i="61" s="1"/>
  <c r="AL7" i="61"/>
  <c r="AM7" i="61" s="1"/>
  <c r="AP4" i="61"/>
  <c r="AQ4" i="61" s="1"/>
  <c r="AL4" i="61"/>
  <c r="AP6" i="61"/>
  <c r="AQ6" i="61" s="1"/>
  <c r="AR6" i="61" s="1"/>
  <c r="AL6" i="61"/>
  <c r="AM6" i="61" s="1"/>
  <c r="AP9" i="61"/>
  <c r="AQ9" i="61" s="1"/>
  <c r="AR9" i="61" s="1"/>
  <c r="AL9" i="61"/>
  <c r="A7" i="61"/>
  <c r="S9" i="61" s="1"/>
  <c r="A77" i="48"/>
  <c r="B77" i="48"/>
  <c r="A16" i="57"/>
  <c r="A8" i="57"/>
  <c r="A16" i="56"/>
  <c r="A15" i="56"/>
  <c r="A10" i="56"/>
  <c r="AO11" i="61" l="1"/>
  <c r="AR4" i="61"/>
  <c r="AT3" i="61"/>
  <c r="AT4" i="61"/>
  <c r="AT5" i="61"/>
  <c r="AT6" i="61"/>
  <c r="AT7" i="61"/>
  <c r="AT8" i="61"/>
  <c r="AT9" i="61"/>
  <c r="AT10" i="61"/>
  <c r="AJ12" i="61"/>
  <c r="AT11" i="61"/>
  <c r="AM4" i="61"/>
  <c r="AO3" i="61"/>
  <c r="AO4" i="61"/>
  <c r="AO5" i="61"/>
  <c r="AO6" i="61"/>
  <c r="AO7" i="61"/>
  <c r="AO8" i="61"/>
  <c r="AO9" i="61"/>
  <c r="AO10" i="61"/>
  <c r="X9" i="61"/>
  <c r="AM9" i="61"/>
  <c r="AH9" i="61"/>
  <c r="AC9" i="61"/>
  <c r="A8" i="61"/>
  <c r="AC10" i="61" s="1"/>
  <c r="B64" i="43"/>
  <c r="B63" i="43"/>
  <c r="B62" i="43"/>
  <c r="B51" i="43"/>
  <c r="B50" i="43"/>
  <c r="AO12" i="61" l="1"/>
  <c r="AM10" i="61"/>
  <c r="AH10" i="61"/>
  <c r="AR10" i="61"/>
  <c r="AT12" i="61"/>
  <c r="AM11" i="61"/>
  <c r="M10" i="61"/>
  <c r="AH11" i="61"/>
  <c r="M11" i="61"/>
  <c r="X8" i="61"/>
  <c r="M9" i="61"/>
  <c r="AR11" i="61"/>
  <c r="AC11" i="61"/>
  <c r="S11" i="61"/>
  <c r="X11" i="61"/>
  <c r="X10" i="61"/>
  <c r="S10" i="61"/>
  <c r="A9" i="61"/>
  <c r="C165" i="28" l="1"/>
  <c r="C159" i="28"/>
  <c r="C153" i="28"/>
  <c r="C147" i="28"/>
  <c r="C135" i="28"/>
  <c r="C129" i="28"/>
  <c r="C123" i="28"/>
  <c r="C117" i="28"/>
  <c r="C105" i="28"/>
  <c r="C99" i="28"/>
  <c r="C93" i="28"/>
  <c r="C87" i="28"/>
  <c r="C75" i="28"/>
  <c r="C69" i="28"/>
  <c r="C63" i="28"/>
  <c r="C57" i="28"/>
  <c r="C41" i="28"/>
  <c r="C35" i="28"/>
  <c r="C29" i="28"/>
  <c r="C23" i="28"/>
  <c r="C279" i="28"/>
  <c r="D279" i="28"/>
  <c r="B270" i="28"/>
  <c r="H25" i="44" l="1"/>
  <c r="H24" i="44"/>
  <c r="H22" i="44"/>
  <c r="D96" i="45" s="1"/>
  <c r="H21" i="44"/>
  <c r="B405" i="47" l="1"/>
  <c r="F10" i="44"/>
  <c r="A16" i="58" l="1"/>
  <c r="E5" i="55"/>
  <c r="A23" i="55"/>
  <c r="A12" i="55" l="1"/>
  <c r="D6" i="53" l="1"/>
  <c r="C14" i="53"/>
  <c r="C13" i="53"/>
  <c r="B9" i="44"/>
  <c r="G15" i="44"/>
  <c r="C429" i="47"/>
  <c r="C95" i="47"/>
  <c r="A26" i="49"/>
  <c r="A4" i="49"/>
  <c r="A2" i="53" l="1"/>
  <c r="A41" i="57"/>
  <c r="A34" i="58"/>
  <c r="A17" i="58"/>
  <c r="A5" i="58"/>
  <c r="B1" i="55"/>
  <c r="C160" i="47"/>
  <c r="B136" i="47"/>
  <c r="C28" i="47"/>
  <c r="B20" i="46" l="1"/>
  <c r="C20" i="46" s="1"/>
  <c r="D20" i="46" s="1"/>
  <c r="E20" i="46" s="1"/>
  <c r="F20" i="46" s="1"/>
  <c r="G20" i="46" s="1"/>
  <c r="H20" i="46" s="1"/>
  <c r="I20" i="46" s="1"/>
  <c r="J20" i="46" s="1"/>
  <c r="K20" i="46" s="1"/>
  <c r="L20" i="46" s="1"/>
  <c r="M20" i="46" s="1"/>
  <c r="M18" i="46" s="1"/>
  <c r="A19" i="46"/>
  <c r="B18" i="46" l="1"/>
  <c r="B19" i="46" s="1"/>
  <c r="I18" i="46"/>
  <c r="I19" i="46" s="1"/>
  <c r="E18" i="46"/>
  <c r="E19" i="46" s="1"/>
  <c r="L18" i="46"/>
  <c r="L19" i="46" s="1"/>
  <c r="H18" i="46"/>
  <c r="H19" i="46" s="1"/>
  <c r="D18" i="46"/>
  <c r="D19" i="46" s="1"/>
  <c r="K18" i="46"/>
  <c r="K19" i="46" s="1"/>
  <c r="G18" i="46"/>
  <c r="G19" i="46" s="1"/>
  <c r="C18" i="46"/>
  <c r="C19" i="46" s="1"/>
  <c r="J18" i="46"/>
  <c r="J19" i="46" s="1"/>
  <c r="F18" i="46"/>
  <c r="F19" i="46" s="1"/>
  <c r="M19" i="46"/>
  <c r="N20" i="46"/>
  <c r="N18" i="46" s="1"/>
  <c r="B14" i="46"/>
  <c r="A13" i="46"/>
  <c r="C14" i="46" l="1"/>
  <c r="B12" i="46"/>
  <c r="B13" i="46" s="1"/>
  <c r="O20" i="46"/>
  <c r="O18" i="46" s="1"/>
  <c r="N19" i="46"/>
  <c r="D14" i="46" l="1"/>
  <c r="C12" i="46"/>
  <c r="C13" i="46" s="1"/>
  <c r="P20" i="46"/>
  <c r="P18" i="46" s="1"/>
  <c r="O19" i="46"/>
  <c r="A162" i="45"/>
  <c r="A161" i="45"/>
  <c r="A160" i="45"/>
  <c r="A159" i="45"/>
  <c r="B121" i="45"/>
  <c r="D105" i="45"/>
  <c r="F25" i="44"/>
  <c r="F24" i="44"/>
  <c r="D109" i="45" s="1"/>
  <c r="D25" i="44"/>
  <c r="D104" i="45" s="1"/>
  <c r="D24" i="44"/>
  <c r="B109" i="45" s="1"/>
  <c r="B25" i="44"/>
  <c r="B104" i="45" s="1"/>
  <c r="B24" i="44"/>
  <c r="B108" i="45" s="1"/>
  <c r="E14" i="46" l="1"/>
  <c r="D12" i="46"/>
  <c r="D13" i="46" s="1"/>
  <c r="Q20" i="46"/>
  <c r="Q18" i="46" s="1"/>
  <c r="P19" i="46"/>
  <c r="A83" i="45"/>
  <c r="A82" i="45"/>
  <c r="A81" i="45"/>
  <c r="A80" i="45"/>
  <c r="A59" i="45"/>
  <c r="A57" i="45"/>
  <c r="A58" i="45"/>
  <c r="A60" i="45"/>
  <c r="D100" i="45"/>
  <c r="F22" i="44"/>
  <c r="F21" i="44"/>
  <c r="B100" i="45" s="1"/>
  <c r="D22" i="44"/>
  <c r="D95" i="45" s="1"/>
  <c r="D21" i="44"/>
  <c r="D99" i="45" s="1"/>
  <c r="B22" i="44"/>
  <c r="B95" i="45" s="1"/>
  <c r="L9" i="44"/>
  <c r="F14" i="46" l="1"/>
  <c r="E12" i="46"/>
  <c r="E13" i="46" s="1"/>
  <c r="Q19" i="46"/>
  <c r="R20" i="46"/>
  <c r="R18" i="46" s="1"/>
  <c r="G14" i="46" l="1"/>
  <c r="F12" i="46"/>
  <c r="F13" i="46" s="1"/>
  <c r="S20" i="46"/>
  <c r="S18" i="46" s="1"/>
  <c r="R19" i="46"/>
  <c r="C35" i="43"/>
  <c r="C34" i="43"/>
  <c r="C33" i="43"/>
  <c r="C32" i="43"/>
  <c r="A35" i="43"/>
  <c r="A34" i="43"/>
  <c r="A33" i="43"/>
  <c r="A32" i="43"/>
  <c r="H14" i="46" l="1"/>
  <c r="G12" i="46"/>
  <c r="G13" i="46" s="1"/>
  <c r="T20" i="46"/>
  <c r="S19" i="46"/>
  <c r="L2" i="44"/>
  <c r="A248" i="45" l="1"/>
  <c r="C31" i="50"/>
  <c r="C63" i="50"/>
  <c r="C15" i="50"/>
  <c r="C47" i="50"/>
  <c r="T18" i="46"/>
  <c r="T19" i="46" s="1"/>
  <c r="I14" i="46"/>
  <c r="H12" i="46"/>
  <c r="H13" i="46" s="1"/>
  <c r="J14" i="46" l="1"/>
  <c r="I12" i="46"/>
  <c r="I13" i="46" s="1"/>
  <c r="E51" i="40"/>
  <c r="E41" i="40"/>
  <c r="E31" i="40"/>
  <c r="E21" i="40"/>
  <c r="E11" i="40"/>
  <c r="E6" i="40"/>
  <c r="D3" i="40"/>
  <c r="D43" i="40"/>
  <c r="D33" i="40"/>
  <c r="D23" i="40"/>
  <c r="D13" i="40"/>
  <c r="E46" i="40"/>
  <c r="E36" i="40"/>
  <c r="E26" i="40"/>
  <c r="E16" i="40"/>
  <c r="K14" i="46" l="1"/>
  <c r="J12" i="46"/>
  <c r="J13" i="46" s="1"/>
  <c r="E61" i="40"/>
  <c r="C11" i="62"/>
  <c r="D11" i="62" s="1"/>
  <c r="B42" i="43"/>
  <c r="B43" i="43"/>
  <c r="B44" i="43"/>
  <c r="F11" i="62" l="1"/>
  <c r="H11" i="62" s="1"/>
  <c r="L14" i="46"/>
  <c r="K12" i="46"/>
  <c r="K13" i="46" s="1"/>
  <c r="E164" i="28"/>
  <c r="E158" i="28"/>
  <c r="E152" i="28"/>
  <c r="E146" i="28"/>
  <c r="E134" i="28"/>
  <c r="E128" i="28"/>
  <c r="E122" i="28"/>
  <c r="E116" i="28"/>
  <c r="E104" i="28"/>
  <c r="E98" i="28"/>
  <c r="E92" i="28"/>
  <c r="E74" i="28"/>
  <c r="E68" i="28"/>
  <c r="E62" i="28"/>
  <c r="E40" i="28"/>
  <c r="E34" i="28"/>
  <c r="E22" i="28"/>
  <c r="E19" i="28" s="1"/>
  <c r="E165" i="28"/>
  <c r="E159" i="28"/>
  <c r="E153" i="28"/>
  <c r="E147" i="28"/>
  <c r="E135" i="28"/>
  <c r="E129" i="28"/>
  <c r="E123" i="28"/>
  <c r="E117" i="28"/>
  <c r="E105" i="28"/>
  <c r="E99" i="28"/>
  <c r="E93" i="28"/>
  <c r="E87" i="28"/>
  <c r="E75" i="28"/>
  <c r="E69" i="28"/>
  <c r="E63" i="28"/>
  <c r="E57" i="28"/>
  <c r="E41" i="28"/>
  <c r="E35" i="28"/>
  <c r="E29" i="28"/>
  <c r="E23" i="28"/>
  <c r="E24" i="28" s="1"/>
  <c r="A301" i="28" s="1"/>
  <c r="L12" i="46" l="1"/>
  <c r="L13" i="46" s="1"/>
  <c r="M14" i="46"/>
  <c r="E42" i="28"/>
  <c r="E64" i="28"/>
  <c r="E76" i="28"/>
  <c r="E94" i="28"/>
  <c r="E106" i="28"/>
  <c r="E124" i="28"/>
  <c r="E136" i="28"/>
  <c r="E154" i="28"/>
  <c r="E36" i="28"/>
  <c r="E70" i="28"/>
  <c r="E100" i="28"/>
  <c r="E118" i="28"/>
  <c r="E130" i="28"/>
  <c r="E148" i="28"/>
  <c r="E160" i="28"/>
  <c r="E166" i="28"/>
  <c r="F16" i="62"/>
  <c r="H16" i="62" s="1"/>
  <c r="N14" i="46" l="1"/>
  <c r="M12" i="46"/>
  <c r="M13" i="46" s="1"/>
  <c r="B294" i="28"/>
  <c r="B295" i="28"/>
  <c r="V3" i="41"/>
  <c r="X3" i="41"/>
  <c r="Z3" i="41"/>
  <c r="Y3" i="41"/>
  <c r="W3" i="41"/>
  <c r="A253" i="28"/>
  <c r="R5" i="41"/>
  <c r="R6" i="41" s="1"/>
  <c r="R7" i="41" s="1"/>
  <c r="R8" i="41" s="1"/>
  <c r="R9" i="41" s="1"/>
  <c r="R10" i="41" s="1"/>
  <c r="R11" i="41" s="1"/>
  <c r="R12" i="41" s="1"/>
  <c r="R13" i="41" s="1"/>
  <c r="R14" i="41" s="1"/>
  <c r="R15" i="41" s="1"/>
  <c r="R16" i="41" s="1"/>
  <c r="R17" i="41" s="1"/>
  <c r="R18" i="41" s="1"/>
  <c r="R19" i="41" s="1"/>
  <c r="R20" i="41" s="1"/>
  <c r="R21" i="41" s="1"/>
  <c r="R22" i="41" s="1"/>
  <c r="R23" i="41" s="1"/>
  <c r="R24" i="41" s="1"/>
  <c r="R25" i="41" s="1"/>
  <c r="R26" i="41" s="1"/>
  <c r="R27" i="41" s="1"/>
  <c r="R28" i="41" s="1"/>
  <c r="R29" i="41" s="1"/>
  <c r="R30" i="41" s="1"/>
  <c r="R31" i="41" s="1"/>
  <c r="R32" i="41" s="1"/>
  <c r="R33" i="41" s="1"/>
  <c r="R34" i="41" s="1"/>
  <c r="R35" i="41" s="1"/>
  <c r="R36" i="41" s="1"/>
  <c r="R37" i="41" s="1"/>
  <c r="R38" i="41" s="1"/>
  <c r="R39" i="41" s="1"/>
  <c r="R40" i="41" s="1"/>
  <c r="R41" i="41" s="1"/>
  <c r="R42" i="41" s="1"/>
  <c r="R43" i="41" s="1"/>
  <c r="R44" i="41" s="1"/>
  <c r="R45" i="41" s="1"/>
  <c r="R46" i="41" s="1"/>
  <c r="R47" i="41" s="1"/>
  <c r="R48" i="41" s="1"/>
  <c r="R49" i="41" s="1"/>
  <c r="R50" i="41" s="1"/>
  <c r="R51" i="41" s="1"/>
  <c r="R52" i="41" s="1"/>
  <c r="R53" i="41" s="1"/>
  <c r="R54" i="41" s="1"/>
  <c r="R55" i="41" s="1"/>
  <c r="R56" i="41" s="1"/>
  <c r="R57" i="41" s="1"/>
  <c r="R58" i="41" s="1"/>
  <c r="R59" i="41" s="1"/>
  <c r="R60" i="41" s="1"/>
  <c r="R61" i="41" s="1"/>
  <c r="R62" i="41" s="1"/>
  <c r="R63" i="41" s="1"/>
  <c r="R64" i="41" s="1"/>
  <c r="R65" i="41" s="1"/>
  <c r="R66" i="41" s="1"/>
  <c r="S4" i="41"/>
  <c r="J9" i="44"/>
  <c r="D9" i="44"/>
  <c r="L12" i="44"/>
  <c r="J12" i="44"/>
  <c r="B207" i="45" s="1"/>
  <c r="A254" i="28"/>
  <c r="A255" i="28"/>
  <c r="L7" i="44"/>
  <c r="L6" i="44"/>
  <c r="L5" i="44"/>
  <c r="L4" i="44"/>
  <c r="J7" i="44"/>
  <c r="J6" i="44"/>
  <c r="J5" i="44"/>
  <c r="J4" i="44"/>
  <c r="D7" i="44"/>
  <c r="D6" i="44"/>
  <c r="D5" i="44"/>
  <c r="B7" i="44"/>
  <c r="B6" i="44"/>
  <c r="B5" i="44"/>
  <c r="B4" i="44"/>
  <c r="J2" i="44"/>
  <c r="B9" i="75" s="1"/>
  <c r="D2" i="44"/>
  <c r="B2" i="44"/>
  <c r="F39" i="41"/>
  <c r="B115" i="60" s="1"/>
  <c r="I39" i="41"/>
  <c r="D115" i="60" s="1"/>
  <c r="K39" i="41"/>
  <c r="C115" i="60" s="1"/>
  <c r="F40" i="41"/>
  <c r="B116" i="60" s="1"/>
  <c r="I40" i="41"/>
  <c r="D116" i="60" s="1"/>
  <c r="K40" i="41"/>
  <c r="C116" i="60" s="1"/>
  <c r="F41" i="41"/>
  <c r="B117" i="60" s="1"/>
  <c r="I41" i="41"/>
  <c r="D117" i="60" s="1"/>
  <c r="K41" i="41"/>
  <c r="C117" i="60" s="1"/>
  <c r="F42" i="41"/>
  <c r="B118" i="60" s="1"/>
  <c r="I42" i="41"/>
  <c r="D118" i="60" s="1"/>
  <c r="K42" i="41"/>
  <c r="C118" i="60" s="1"/>
  <c r="F43" i="41"/>
  <c r="B119" i="60" s="1"/>
  <c r="I43" i="41"/>
  <c r="D119" i="60" s="1"/>
  <c r="K43" i="41"/>
  <c r="C119" i="60" s="1"/>
  <c r="F38" i="41"/>
  <c r="I38" i="41"/>
  <c r="K38" i="41"/>
  <c r="A38" i="41"/>
  <c r="B2" i="41"/>
  <c r="T5" i="41"/>
  <c r="T6" i="41" s="1"/>
  <c r="T7" i="41" s="1"/>
  <c r="T8" i="41" s="1"/>
  <c r="T9" i="41" s="1"/>
  <c r="T10" i="41" s="1"/>
  <c r="T11" i="41" s="1"/>
  <c r="T12" i="41" s="1"/>
  <c r="T13" i="41" s="1"/>
  <c r="T14" i="41" s="1"/>
  <c r="T15" i="41" s="1"/>
  <c r="A72" i="50" l="1"/>
  <c r="A40" i="50"/>
  <c r="A56" i="50"/>
  <c r="C220" i="45"/>
  <c r="A24" i="50"/>
  <c r="D3" i="74"/>
  <c r="A41" i="50"/>
  <c r="A57" i="50"/>
  <c r="A73" i="50"/>
  <c r="D220" i="45"/>
  <c r="A25" i="50"/>
  <c r="E3" i="74"/>
  <c r="A42" i="50"/>
  <c r="A58" i="50"/>
  <c r="A74" i="50"/>
  <c r="A26" i="50"/>
  <c r="A71" i="50"/>
  <c r="A55" i="50"/>
  <c r="A39" i="50"/>
  <c r="B220" i="45"/>
  <c r="A23" i="50"/>
  <c r="C3" i="74"/>
  <c r="B63" i="50"/>
  <c r="B31" i="50"/>
  <c r="B47" i="50"/>
  <c r="B15" i="50"/>
  <c r="A31" i="50"/>
  <c r="A15" i="50"/>
  <c r="A47" i="50"/>
  <c r="A7" i="50"/>
  <c r="A63" i="50"/>
  <c r="B3" i="74"/>
  <c r="A4" i="50"/>
  <c r="A220" i="45"/>
  <c r="AA11" i="70"/>
  <c r="A263" i="28"/>
  <c r="C82" i="62"/>
  <c r="A4" i="48"/>
  <c r="A83" i="48"/>
  <c r="AA3" i="41"/>
  <c r="B9" i="47"/>
  <c r="A7" i="60" s="1"/>
  <c r="B202" i="45"/>
  <c r="A53" i="45"/>
  <c r="A6" i="58"/>
  <c r="A13" i="56"/>
  <c r="A7" i="56"/>
  <c r="A9" i="56"/>
  <c r="B10" i="47"/>
  <c r="A8" i="60" s="1"/>
  <c r="B77" i="47"/>
  <c r="B412" i="47"/>
  <c r="B143" i="47"/>
  <c r="B142" i="47"/>
  <c r="B411" i="47"/>
  <c r="B76" i="47"/>
  <c r="B159" i="47"/>
  <c r="B428" i="47"/>
  <c r="B94" i="47"/>
  <c r="B27" i="47"/>
  <c r="O14" i="46"/>
  <c r="N12" i="46"/>
  <c r="N13" i="46" s="1"/>
  <c r="B414" i="47"/>
  <c r="B145" i="47"/>
  <c r="B79" i="47"/>
  <c r="B12" i="47"/>
  <c r="A10" i="60" s="1"/>
  <c r="B78" i="47"/>
  <c r="B11" i="47"/>
  <c r="A9" i="60" s="1"/>
  <c r="B413" i="47"/>
  <c r="B144" i="47"/>
  <c r="A12" i="49"/>
  <c r="A33" i="45"/>
  <c r="C202" i="45"/>
  <c r="A36" i="49"/>
  <c r="A14" i="49"/>
  <c r="A5" i="57"/>
  <c r="C400" i="47"/>
  <c r="C671" i="47"/>
  <c r="C401" i="47"/>
  <c r="C672" i="47"/>
  <c r="C402" i="47"/>
  <c r="C673" i="47"/>
  <c r="D206" i="45"/>
  <c r="A32" i="58"/>
  <c r="A15" i="58"/>
  <c r="C398" i="47"/>
  <c r="C669" i="47"/>
  <c r="D402" i="47"/>
  <c r="D673" i="47"/>
  <c r="D399" i="47"/>
  <c r="D670" i="47"/>
  <c r="D400" i="47"/>
  <c r="D671" i="47"/>
  <c r="D401" i="47"/>
  <c r="D672" i="47"/>
  <c r="A13" i="58"/>
  <c r="A30" i="58"/>
  <c r="D398" i="47"/>
  <c r="D669" i="47"/>
  <c r="B401" i="47"/>
  <c r="B672" i="47"/>
  <c r="B402" i="47"/>
  <c r="B673" i="47"/>
  <c r="B399" i="47"/>
  <c r="B670" i="47"/>
  <c r="B400" i="47"/>
  <c r="B671" i="47"/>
  <c r="A28" i="58"/>
  <c r="A11" i="58"/>
  <c r="B398" i="47"/>
  <c r="B669" i="47"/>
  <c r="B2" i="55"/>
  <c r="B21" i="44"/>
  <c r="B99" i="45" s="1"/>
  <c r="C399" i="47"/>
  <c r="C670" i="47"/>
  <c r="B8" i="53"/>
  <c r="C11" i="51"/>
  <c r="B9" i="53"/>
  <c r="B11" i="51"/>
  <c r="B113" i="45"/>
  <c r="B427" i="47"/>
  <c r="B93" i="47"/>
  <c r="B153" i="48"/>
  <c r="B158" i="47"/>
  <c r="B74" i="48"/>
  <c r="B26" i="47"/>
  <c r="B60" i="45"/>
  <c r="B162" i="45"/>
  <c r="A73" i="47"/>
  <c r="A408" i="47"/>
  <c r="A34" i="49"/>
  <c r="A147" i="48"/>
  <c r="A757" i="47"/>
  <c r="A139" i="47"/>
  <c r="A68" i="48"/>
  <c r="A6" i="47"/>
  <c r="A5" i="60" s="1"/>
  <c r="A679" i="47"/>
  <c r="A26" i="45"/>
  <c r="A74" i="45"/>
  <c r="A244" i="45"/>
  <c r="A188" i="45"/>
  <c r="A211" i="45"/>
  <c r="A178" i="45"/>
  <c r="A157" i="45"/>
  <c r="A246" i="45"/>
  <c r="B151" i="48"/>
  <c r="B91" i="47"/>
  <c r="B425" i="47"/>
  <c r="B24" i="47"/>
  <c r="B156" i="47"/>
  <c r="B72" i="48"/>
  <c r="A428" i="47"/>
  <c r="A94" i="47"/>
  <c r="A27" i="47"/>
  <c r="A159" i="47"/>
  <c r="B157" i="48"/>
  <c r="B78" i="48"/>
  <c r="D202" i="45"/>
  <c r="A249" i="45"/>
  <c r="B152" i="48"/>
  <c r="B426" i="47"/>
  <c r="B92" i="47"/>
  <c r="B157" i="47"/>
  <c r="B25" i="47"/>
  <c r="B73" i="48"/>
  <c r="B161" i="45"/>
  <c r="C206" i="45"/>
  <c r="A164" i="45"/>
  <c r="B114" i="45"/>
  <c r="B160" i="45"/>
  <c r="B196" i="45"/>
  <c r="B117" i="45"/>
  <c r="A6" i="45"/>
  <c r="A78" i="45"/>
  <c r="A56" i="45"/>
  <c r="B83" i="45"/>
  <c r="B58" i="45"/>
  <c r="B81" i="45"/>
  <c r="C10" i="44"/>
  <c r="B59" i="45"/>
  <c r="B82" i="45"/>
  <c r="J16" i="44"/>
  <c r="D1" i="53" s="1"/>
  <c r="O12" i="46" l="1"/>
  <c r="O13" i="46" s="1"/>
  <c r="P14" i="46"/>
  <c r="D21" i="47"/>
  <c r="D88" i="47"/>
  <c r="A78" i="48"/>
  <c r="A157" i="48"/>
  <c r="B12" i="44"/>
  <c r="A61" i="43"/>
  <c r="A60" i="43"/>
  <c r="A59" i="43"/>
  <c r="A58" i="43"/>
  <c r="A57" i="43"/>
  <c r="A55" i="43"/>
  <c r="A56" i="43"/>
  <c r="A54" i="43"/>
  <c r="D64" i="43"/>
  <c r="A103" i="70" l="1"/>
  <c r="A390" i="28"/>
  <c r="A161" i="62"/>
  <c r="A387" i="28"/>
  <c r="A100" i="70"/>
  <c r="A158" i="62"/>
  <c r="A99" i="70"/>
  <c r="A386" i="28"/>
  <c r="A157" i="62"/>
  <c r="A389" i="28"/>
  <c r="A160" i="62"/>
  <c r="A102" i="70"/>
  <c r="A163" i="62"/>
  <c r="A392" i="28"/>
  <c r="A105" i="70"/>
  <c r="A388" i="28"/>
  <c r="A159" i="62"/>
  <c r="A101" i="70"/>
  <c r="A104" i="70"/>
  <c r="A391" i="28"/>
  <c r="A162" i="62"/>
  <c r="Q14" i="46"/>
  <c r="P12" i="46"/>
  <c r="P13" i="46" s="1"/>
  <c r="F267" i="28"/>
  <c r="G267" i="28" s="1"/>
  <c r="F266" i="28"/>
  <c r="G266" i="28" s="1"/>
  <c r="F265" i="28"/>
  <c r="G265" i="28" s="1"/>
  <c r="F264" i="28"/>
  <c r="G264" i="28" s="1"/>
  <c r="F263" i="28"/>
  <c r="G263" i="28" s="1"/>
  <c r="R14" i="46" l="1"/>
  <c r="Q12" i="46"/>
  <c r="Q13" i="46" s="1"/>
  <c r="B206" i="28"/>
  <c r="B199" i="28"/>
  <c r="B53" i="43"/>
  <c r="A53" i="43"/>
  <c r="A381" i="28" l="1"/>
  <c r="A94" i="70"/>
  <c r="E414" i="28"/>
  <c r="A152" i="62"/>
  <c r="A306" i="28"/>
  <c r="A305" i="28"/>
  <c r="A313" i="28"/>
  <c r="A341" i="28"/>
  <c r="A340" i="28"/>
  <c r="A45" i="70"/>
  <c r="C23" i="70"/>
  <c r="D23" i="70" s="1"/>
  <c r="F23" i="70" s="1"/>
  <c r="H23" i="70" s="1"/>
  <c r="A52" i="70"/>
  <c r="A44" i="70"/>
  <c r="A64" i="70"/>
  <c r="K20" i="70"/>
  <c r="L20" i="70" s="1"/>
  <c r="N20" i="70" s="1"/>
  <c r="P20" i="70" s="1"/>
  <c r="A63" i="70"/>
  <c r="A103" i="62"/>
  <c r="A110" i="62"/>
  <c r="A102" i="62"/>
  <c r="C39" i="62"/>
  <c r="D39" i="62" s="1"/>
  <c r="F39" i="62" s="1"/>
  <c r="H39" i="62" s="1"/>
  <c r="A121" i="62"/>
  <c r="A122" i="62"/>
  <c r="C23" i="62"/>
  <c r="S14" i="46"/>
  <c r="R12" i="46"/>
  <c r="R13" i="46" s="1"/>
  <c r="D23" i="62" l="1"/>
  <c r="F23" i="62" s="1"/>
  <c r="H23" i="62" s="1"/>
  <c r="S12" i="46"/>
  <c r="S13" i="46" s="1"/>
  <c r="T14" i="46"/>
  <c r="T12" i="46" s="1"/>
  <c r="T13" i="46" s="1"/>
  <c r="A265" i="28"/>
  <c r="A41" i="41" s="1"/>
  <c r="D273" i="28"/>
  <c r="B46" i="43" s="1"/>
  <c r="D274" i="28"/>
  <c r="B47" i="43" s="1"/>
  <c r="D275" i="28"/>
  <c r="B48" i="43" s="1"/>
  <c r="D276" i="28"/>
  <c r="B49" i="43" s="1"/>
  <c r="D272" i="28"/>
  <c r="B45" i="43" s="1"/>
  <c r="B41" i="43"/>
  <c r="A424" i="28" s="1"/>
  <c r="A7" i="55" l="1"/>
  <c r="A117" i="60"/>
  <c r="A400" i="47"/>
  <c r="A671" i="47"/>
  <c r="B21" i="43"/>
  <c r="A317" i="28" l="1"/>
  <c r="A56" i="70"/>
  <c r="A114" i="62"/>
  <c r="C21" i="43"/>
  <c r="C20" i="43"/>
  <c r="D82" i="28"/>
  <c r="C19" i="43"/>
  <c r="C16" i="43"/>
  <c r="K25" i="70" l="1"/>
  <c r="L25" i="70" s="1"/>
  <c r="N25" i="70" s="1"/>
  <c r="P25" i="70" s="1"/>
  <c r="C37" i="43"/>
  <c r="C43" i="62"/>
  <c r="D43" i="62" s="1"/>
  <c r="F43" i="62" s="1"/>
  <c r="H43" i="62" s="1"/>
  <c r="C31" i="43"/>
  <c r="C30" i="43"/>
  <c r="A31" i="43"/>
  <c r="A30" i="43"/>
  <c r="C29" i="43"/>
  <c r="C28" i="43"/>
  <c r="A29" i="43"/>
  <c r="A28" i="43"/>
  <c r="C27" i="43"/>
  <c r="C26" i="43"/>
  <c r="A27" i="43"/>
  <c r="A26" i="43"/>
  <c r="C25" i="43"/>
  <c r="C24" i="43"/>
  <c r="A25" i="43"/>
  <c r="A24" i="43"/>
  <c r="B12" i="43"/>
  <c r="A76" i="70" l="1"/>
  <c r="A134" i="62"/>
  <c r="D52" i="28"/>
  <c r="K11" i="70" l="1"/>
  <c r="L11" i="70" s="1"/>
  <c r="N11" i="70" s="1"/>
  <c r="P11" i="70" s="1"/>
  <c r="C36" i="43"/>
  <c r="C30" i="62"/>
  <c r="D30" i="62" s="1"/>
  <c r="F30" i="62" s="1"/>
  <c r="H30" i="62" s="1"/>
  <c r="D6" i="28"/>
  <c r="A75" i="70" l="1"/>
  <c r="A38" i="70"/>
  <c r="A180" i="62"/>
  <c r="A133" i="62"/>
  <c r="C41" i="42"/>
  <c r="C9" i="42" l="1"/>
  <c r="C32" i="42"/>
  <c r="C31" i="42"/>
  <c r="C30" i="42"/>
  <c r="C29" i="42"/>
  <c r="C28" i="42"/>
  <c r="C7" i="42"/>
  <c r="C4" i="42"/>
  <c r="C3" i="42"/>
  <c r="D25" i="42"/>
  <c r="D24" i="42"/>
  <c r="D23" i="42"/>
  <c r="D22" i="42"/>
  <c r="D21" i="42"/>
  <c r="C21" i="42"/>
  <c r="A21" i="42"/>
  <c r="D20" i="42"/>
  <c r="C20" i="42"/>
  <c r="A20" i="42"/>
  <c r="D19" i="42"/>
  <c r="C19" i="42"/>
  <c r="A19" i="42"/>
  <c r="D18" i="42"/>
  <c r="C18" i="42"/>
  <c r="A18" i="42"/>
  <c r="D17" i="42"/>
  <c r="A17" i="42"/>
  <c r="D16" i="42"/>
  <c r="A16" i="42"/>
  <c r="D15" i="42"/>
  <c r="A15" i="42"/>
  <c r="D14" i="42"/>
  <c r="A14" i="42"/>
  <c r="C8" i="42"/>
  <c r="D3" i="42"/>
  <c r="B188" i="28"/>
  <c r="B182" i="28"/>
  <c r="D50" i="42" l="1"/>
  <c r="B227" i="28"/>
  <c r="A357" i="28" l="1"/>
  <c r="A356" i="28"/>
  <c r="A69" i="70"/>
  <c r="S34" i="70"/>
  <c r="T33" i="70" s="1"/>
  <c r="V33" i="70" s="1"/>
  <c r="X33" i="70" s="1"/>
  <c r="A70" i="70"/>
  <c r="C78" i="62"/>
  <c r="D78" i="62" s="1"/>
  <c r="F78" i="62" s="1"/>
  <c r="H78" i="62" s="1"/>
  <c r="A128" i="62"/>
  <c r="A127" i="62"/>
  <c r="C17" i="42"/>
  <c r="F15" i="42"/>
  <c r="G15" i="42" s="1"/>
  <c r="F28" i="42"/>
  <c r="G28" i="42" s="1"/>
  <c r="F19" i="42"/>
  <c r="G19" i="42" s="1"/>
  <c r="F32" i="42"/>
  <c r="G32" i="42" s="1"/>
  <c r="F30" i="42"/>
  <c r="G30" i="42" s="1"/>
  <c r="F44" i="42"/>
  <c r="G44" i="42" s="1"/>
  <c r="F41" i="42"/>
  <c r="G41" i="42" s="1"/>
  <c r="F37" i="42"/>
  <c r="G37" i="42" s="1"/>
  <c r="F20" i="42"/>
  <c r="G20" i="42" s="1"/>
  <c r="F16" i="42"/>
  <c r="G16" i="42" s="1"/>
  <c r="F45" i="42"/>
  <c r="G45" i="42" s="1"/>
  <c r="F25" i="42"/>
  <c r="G25" i="42" s="1"/>
  <c r="F24" i="42"/>
  <c r="G24" i="42" s="1"/>
  <c r="F22" i="42"/>
  <c r="G22" i="42" s="1"/>
  <c r="F42" i="42"/>
  <c r="G42" i="42" s="1"/>
  <c r="F35" i="42"/>
  <c r="G35" i="42" s="1"/>
  <c r="F50" i="42"/>
  <c r="F48" i="42"/>
  <c r="G48" i="42" s="1"/>
  <c r="F31" i="42"/>
  <c r="G31" i="42" s="1"/>
  <c r="F29" i="42"/>
  <c r="G29" i="42" s="1"/>
  <c r="F43" i="42"/>
  <c r="G43" i="42" s="1"/>
  <c r="F38" i="42"/>
  <c r="G38" i="42" s="1"/>
  <c r="F36" i="42"/>
  <c r="G36" i="42" s="1"/>
  <c r="F23" i="42"/>
  <c r="G23" i="42" s="1"/>
  <c r="F21" i="42"/>
  <c r="G21" i="42" s="1"/>
  <c r="F17" i="42"/>
  <c r="G17" i="42" s="1"/>
  <c r="F18" i="42"/>
  <c r="G18" i="42" s="1"/>
  <c r="F14" i="42"/>
  <c r="G14" i="42" s="1"/>
  <c r="F7" i="42"/>
  <c r="G7" i="42" s="1"/>
  <c r="F5" i="42"/>
  <c r="G5" i="42" s="1"/>
  <c r="F10" i="42"/>
  <c r="G10" i="42" s="1"/>
  <c r="F8" i="42"/>
  <c r="G8" i="42" s="1"/>
  <c r="F6" i="42"/>
  <c r="G6" i="42" s="1"/>
  <c r="F11" i="42"/>
  <c r="G11" i="42" s="1"/>
  <c r="F9" i="42"/>
  <c r="G9" i="42" s="1"/>
  <c r="F4" i="42"/>
  <c r="G4" i="42" s="1"/>
  <c r="F3" i="42"/>
  <c r="G3" i="42" s="1"/>
  <c r="G50" i="42" l="1"/>
  <c r="G54" i="42" s="1"/>
  <c r="K21" i="39" l="1"/>
  <c r="K1" i="39"/>
  <c r="AL12" i="40" l="1"/>
  <c r="AL13" i="40" s="1"/>
  <c r="AO11" i="40"/>
  <c r="AX10" i="40"/>
  <c r="AB10" i="40"/>
  <c r="AB11" i="40" s="1"/>
  <c r="AB12" i="40" s="1"/>
  <c r="R10" i="40"/>
  <c r="R11" i="40" s="1"/>
  <c r="I10" i="40"/>
  <c r="I11" i="40" s="1"/>
  <c r="L11" i="40" s="1"/>
  <c r="BA9" i="40"/>
  <c r="AE9" i="40"/>
  <c r="U9" i="40"/>
  <c r="L9" i="40"/>
  <c r="H9" i="40"/>
  <c r="AU9" i="40" s="1"/>
  <c r="AU8" i="40"/>
  <c r="AA8" i="40"/>
  <c r="AJ10" i="40" s="1"/>
  <c r="Z8" i="40"/>
  <c r="AK10" i="40" s="1"/>
  <c r="AV8" i="40" s="1"/>
  <c r="Q8" i="40"/>
  <c r="AL5" i="40"/>
  <c r="AL4" i="40"/>
  <c r="AJ4" i="40"/>
  <c r="AS3" i="40"/>
  <c r="AS4" i="40" s="1"/>
  <c r="AS5" i="40" s="1"/>
  <c r="AS6" i="40" s="1"/>
  <c r="AS7" i="40" s="1"/>
  <c r="AS8" i="40" s="1"/>
  <c r="AS9" i="40" s="1"/>
  <c r="AS10" i="40" s="1"/>
  <c r="AS11" i="40" s="1"/>
  <c r="AS12" i="40" s="1"/>
  <c r="AS13" i="40" s="1"/>
  <c r="AS14" i="40" s="1"/>
  <c r="AS15" i="40" s="1"/>
  <c r="AL3" i="40"/>
  <c r="AJ3" i="40"/>
  <c r="AZ3" i="40" l="1"/>
  <c r="AL6" i="40"/>
  <c r="BA10" i="40"/>
  <c r="AM4" i="40"/>
  <c r="AN4" i="40" s="1"/>
  <c r="AE10" i="40"/>
  <c r="L10" i="40"/>
  <c r="AO12" i="40"/>
  <c r="G9" i="40"/>
  <c r="Q9" i="40" s="1"/>
  <c r="AM3" i="40"/>
  <c r="AN3" i="40" s="1"/>
  <c r="AW8" i="40"/>
  <c r="S3" i="40"/>
  <c r="AC3" i="40" s="1"/>
  <c r="B286" i="28" s="1"/>
  <c r="AD8" i="40"/>
  <c r="AA3" i="40"/>
  <c r="AE12" i="40"/>
  <c r="AB13" i="40"/>
  <c r="AS16" i="40"/>
  <c r="AT15" i="40"/>
  <c r="AI10" i="40" s="1"/>
  <c r="AN10" i="40" s="1"/>
  <c r="U11" i="40"/>
  <c r="R12" i="40"/>
  <c r="P8" i="40"/>
  <c r="AE11" i="40"/>
  <c r="AO13" i="40"/>
  <c r="AL14" i="40"/>
  <c r="I12" i="40"/>
  <c r="U10" i="40"/>
  <c r="AX11" i="40"/>
  <c r="H10" i="40"/>
  <c r="AA9" i="40"/>
  <c r="AJ11" i="40" s="1"/>
  <c r="AA21" i="70" l="1"/>
  <c r="AB21" i="70" s="1"/>
  <c r="AD21" i="70" s="1"/>
  <c r="AF21" i="70" s="1"/>
  <c r="Z9" i="40"/>
  <c r="AK11" i="40" s="1"/>
  <c r="AV9" i="40" s="1"/>
  <c r="AW9" i="40" s="1"/>
  <c r="BG9" i="40" s="1"/>
  <c r="AM6" i="40"/>
  <c r="AN6" i="40" s="1"/>
  <c r="R13" i="40"/>
  <c r="U12" i="40"/>
  <c r="AT16" i="40"/>
  <c r="AI11" i="40" s="1"/>
  <c r="AS17" i="40"/>
  <c r="AL15" i="40"/>
  <c r="AO14" i="40"/>
  <c r="AB14" i="40"/>
  <c r="AE13" i="40"/>
  <c r="H11" i="40"/>
  <c r="AU10" i="40"/>
  <c r="AA10" i="40"/>
  <c r="AJ12" i="40" s="1"/>
  <c r="G10" i="40"/>
  <c r="AX12" i="40"/>
  <c r="BA11" i="40"/>
  <c r="P9" i="40"/>
  <c r="I13" i="40"/>
  <c r="L12" i="40"/>
  <c r="AU11" i="40" l="1"/>
  <c r="AA11" i="40"/>
  <c r="AJ13" i="40" s="1"/>
  <c r="H12" i="40"/>
  <c r="G11" i="40"/>
  <c r="P10" i="40"/>
  <c r="AL16" i="40"/>
  <c r="AO15" i="40"/>
  <c r="U13" i="40"/>
  <c r="R14" i="40"/>
  <c r="Q10" i="40"/>
  <c r="Z10" i="40"/>
  <c r="AK12" i="40" s="1"/>
  <c r="AV10" i="40" s="1"/>
  <c r="AW10" i="40" s="1"/>
  <c r="L13" i="40"/>
  <c r="I14" i="40"/>
  <c r="AX13" i="40"/>
  <c r="BA12" i="40"/>
  <c r="AE14" i="40"/>
  <c r="AB15" i="40"/>
  <c r="AT17" i="40"/>
  <c r="AI12" i="40" s="1"/>
  <c r="AS18" i="40"/>
  <c r="I15" i="40" l="1"/>
  <c r="L14" i="40"/>
  <c r="P11" i="40"/>
  <c r="AB16" i="40"/>
  <c r="AE15" i="40"/>
  <c r="AS19" i="40"/>
  <c r="AT18" i="40"/>
  <c r="AI13" i="40" s="1"/>
  <c r="Q11" i="40"/>
  <c r="Z11" i="40"/>
  <c r="AK13" i="40" s="1"/>
  <c r="AV11" i="40" s="1"/>
  <c r="AW11" i="40" s="1"/>
  <c r="BG10" i="40"/>
  <c r="BA13" i="40"/>
  <c r="AX14" i="40"/>
  <c r="U14" i="40"/>
  <c r="R15" i="40"/>
  <c r="AL17" i="40"/>
  <c r="AO16" i="40"/>
  <c r="AA12" i="40"/>
  <c r="AJ14" i="40" s="1"/>
  <c r="G12" i="40"/>
  <c r="H13" i="40"/>
  <c r="AU12" i="40"/>
  <c r="BG11" i="40" l="1"/>
  <c r="AS20" i="40"/>
  <c r="AT19" i="40"/>
  <c r="AI14" i="40" s="1"/>
  <c r="AA13" i="40"/>
  <c r="AJ15" i="40" s="1"/>
  <c r="G13" i="40"/>
  <c r="H14" i="40"/>
  <c r="AU13" i="40"/>
  <c r="Z12" i="40"/>
  <c r="AK14" i="40" s="1"/>
  <c r="AV12" i="40" s="1"/>
  <c r="AW12" i="40" s="1"/>
  <c r="Q12" i="40"/>
  <c r="AL18" i="40"/>
  <c r="AO17" i="40"/>
  <c r="BA14" i="40"/>
  <c r="AX15" i="40"/>
  <c r="AB17" i="40"/>
  <c r="AE16" i="40"/>
  <c r="I16" i="40"/>
  <c r="L15" i="40"/>
  <c r="P12" i="40"/>
  <c r="R16" i="40"/>
  <c r="U15" i="40"/>
  <c r="BG12" i="40" l="1"/>
  <c r="AA14" i="40"/>
  <c r="AJ16" i="40" s="1"/>
  <c r="G14" i="40"/>
  <c r="H15" i="40"/>
  <c r="AU14" i="40"/>
  <c r="I17" i="40"/>
  <c r="L16" i="40"/>
  <c r="Q13" i="40"/>
  <c r="Z13" i="40"/>
  <c r="AK15" i="40" s="1"/>
  <c r="AV13" i="40" s="1"/>
  <c r="AW13" i="40" s="1"/>
  <c r="AT20" i="40"/>
  <c r="AI15" i="40" s="1"/>
  <c r="AS21" i="40"/>
  <c r="R17" i="40"/>
  <c r="U16" i="40"/>
  <c r="AB18" i="40"/>
  <c r="AE17" i="40"/>
  <c r="AX16" i="40"/>
  <c r="BA15" i="40"/>
  <c r="AO18" i="40"/>
  <c r="AL19" i="40"/>
  <c r="P13" i="40"/>
  <c r="BG13" i="40" l="1"/>
  <c r="AX17" i="40"/>
  <c r="BA16" i="40"/>
  <c r="Z14" i="40"/>
  <c r="AK16" i="40" s="1"/>
  <c r="AV14" i="40" s="1"/>
  <c r="AW14" i="40" s="1"/>
  <c r="Q14" i="40"/>
  <c r="P14" i="40"/>
  <c r="AL20" i="40"/>
  <c r="AO19" i="40"/>
  <c r="R18" i="40"/>
  <c r="U17" i="40"/>
  <c r="I18" i="40"/>
  <c r="L17" i="40"/>
  <c r="AB19" i="40"/>
  <c r="AE18" i="40"/>
  <c r="AT21" i="40"/>
  <c r="AI16" i="40" s="1"/>
  <c r="AS22" i="40"/>
  <c r="AA15" i="40"/>
  <c r="AJ17" i="40" s="1"/>
  <c r="H16" i="40"/>
  <c r="AU15" i="40"/>
  <c r="G15" i="40"/>
  <c r="BG14" i="40" l="1"/>
  <c r="P15" i="40"/>
  <c r="AL21" i="40"/>
  <c r="AO20" i="40"/>
  <c r="AX18" i="40"/>
  <c r="BA17" i="40"/>
  <c r="Q15" i="40"/>
  <c r="Z15" i="40"/>
  <c r="AK17" i="40" s="1"/>
  <c r="AV15" i="40" s="1"/>
  <c r="AW15" i="40" s="1"/>
  <c r="AS23" i="40"/>
  <c r="AT22" i="40"/>
  <c r="AI17" i="40" s="1"/>
  <c r="AB20" i="40"/>
  <c r="AE19" i="40"/>
  <c r="I19" i="40"/>
  <c r="L18" i="40"/>
  <c r="R19" i="40"/>
  <c r="U18" i="40"/>
  <c r="G16" i="40"/>
  <c r="H17" i="40"/>
  <c r="AU16" i="40"/>
  <c r="AA16" i="40"/>
  <c r="AJ18" i="40" s="1"/>
  <c r="BG15" i="40" l="1"/>
  <c r="P16" i="40"/>
  <c r="AB21" i="40"/>
  <c r="AE20" i="40"/>
  <c r="AL22" i="40"/>
  <c r="AO21" i="40"/>
  <c r="Z16" i="40"/>
  <c r="AK18" i="40" s="1"/>
  <c r="AV16" i="40" s="1"/>
  <c r="AW16" i="40" s="1"/>
  <c r="Q16" i="40"/>
  <c r="AX19" i="40"/>
  <c r="BA18" i="40"/>
  <c r="R20" i="40"/>
  <c r="U19" i="40"/>
  <c r="I20" i="40"/>
  <c r="L19" i="40"/>
  <c r="H18" i="40"/>
  <c r="AU17" i="40"/>
  <c r="AA17" i="40"/>
  <c r="AJ19" i="40" s="1"/>
  <c r="G17" i="40"/>
  <c r="AS24" i="40"/>
  <c r="AT23" i="40"/>
  <c r="AI18" i="40" s="1"/>
  <c r="H19" i="40" l="1"/>
  <c r="AU18" i="40"/>
  <c r="AA18" i="40"/>
  <c r="AJ20" i="40" s="1"/>
  <c r="G18" i="40"/>
  <c r="Z17" i="40"/>
  <c r="AK19" i="40" s="1"/>
  <c r="AV17" i="40" s="1"/>
  <c r="AW17" i="40" s="1"/>
  <c r="Q17" i="40"/>
  <c r="AX20" i="40"/>
  <c r="BA19" i="40"/>
  <c r="AB22" i="40"/>
  <c r="AE21" i="40"/>
  <c r="AS25" i="40"/>
  <c r="AT24" i="40"/>
  <c r="AI19" i="40" s="1"/>
  <c r="P17" i="40"/>
  <c r="R21" i="40"/>
  <c r="U20" i="40"/>
  <c r="AL23" i="40"/>
  <c r="AO22" i="40"/>
  <c r="I21" i="40"/>
  <c r="L20" i="40"/>
  <c r="BG16" i="40"/>
  <c r="AL24" i="40" l="1"/>
  <c r="AO23" i="40"/>
  <c r="R22" i="40"/>
  <c r="U21" i="40"/>
  <c r="AU19" i="40"/>
  <c r="G19" i="40"/>
  <c r="H20" i="40"/>
  <c r="AA19" i="40"/>
  <c r="AJ21" i="40" s="1"/>
  <c r="I22" i="40"/>
  <c r="L21" i="40"/>
  <c r="BG17" i="40"/>
  <c r="Z18" i="40"/>
  <c r="AK20" i="40" s="1"/>
  <c r="AV18" i="40" s="1"/>
  <c r="AW18" i="40" s="1"/>
  <c r="Q18" i="40"/>
  <c r="P18" i="40"/>
  <c r="AT25" i="40"/>
  <c r="AI20" i="40" s="1"/>
  <c r="AS26" i="40"/>
  <c r="AB23" i="40"/>
  <c r="AE22" i="40"/>
  <c r="AX21" i="40"/>
  <c r="BA20" i="40"/>
  <c r="AX22" i="40" l="1"/>
  <c r="BA21" i="40"/>
  <c r="AB24" i="40"/>
  <c r="AE23" i="40"/>
  <c r="P19" i="40"/>
  <c r="AA20" i="40"/>
  <c r="AJ22" i="40" s="1"/>
  <c r="G20" i="40"/>
  <c r="AU20" i="40"/>
  <c r="H21" i="40"/>
  <c r="AL25" i="40"/>
  <c r="AO24" i="40"/>
  <c r="BG18" i="40"/>
  <c r="AT26" i="40"/>
  <c r="AI21" i="40" s="1"/>
  <c r="AS27" i="40"/>
  <c r="I23" i="40"/>
  <c r="L22" i="40"/>
  <c r="Q19" i="40"/>
  <c r="Z19" i="40"/>
  <c r="AK21" i="40" s="1"/>
  <c r="AV19" i="40" s="1"/>
  <c r="AW19" i="40" s="1"/>
  <c r="R23" i="40"/>
  <c r="U22" i="40"/>
  <c r="BG19" i="40" l="1"/>
  <c r="I24" i="40"/>
  <c r="L23" i="40"/>
  <c r="Z20" i="40"/>
  <c r="AK22" i="40" s="1"/>
  <c r="AV20" i="40" s="1"/>
  <c r="AW20" i="40" s="1"/>
  <c r="Q20" i="40"/>
  <c r="AL26" i="40"/>
  <c r="AO25" i="40"/>
  <c r="P20" i="40"/>
  <c r="AB25" i="40"/>
  <c r="AE24" i="40"/>
  <c r="AX23" i="40"/>
  <c r="BA22" i="40"/>
  <c r="H22" i="40"/>
  <c r="AU21" i="40"/>
  <c r="AA21" i="40"/>
  <c r="AJ23" i="40" s="1"/>
  <c r="G21" i="40"/>
  <c r="R24" i="40"/>
  <c r="U23" i="40"/>
  <c r="AS28" i="40"/>
  <c r="AT27" i="40"/>
  <c r="AI22" i="40" s="1"/>
  <c r="BG20" i="40" l="1"/>
  <c r="P21" i="40"/>
  <c r="BA23" i="40"/>
  <c r="AX24" i="40"/>
  <c r="Z21" i="40"/>
  <c r="AK23" i="40" s="1"/>
  <c r="AV21" i="40" s="1"/>
  <c r="AW21" i="40" s="1"/>
  <c r="Q21" i="40"/>
  <c r="AE25" i="40"/>
  <c r="AB26" i="40"/>
  <c r="R25" i="40"/>
  <c r="U24" i="40"/>
  <c r="H23" i="40"/>
  <c r="AU22" i="40"/>
  <c r="AA22" i="40"/>
  <c r="AJ24" i="40" s="1"/>
  <c r="G22" i="40"/>
  <c r="AL27" i="40"/>
  <c r="AO26" i="40"/>
  <c r="I25" i="40"/>
  <c r="L24" i="40"/>
  <c r="AS29" i="40"/>
  <c r="AT28" i="40"/>
  <c r="AI23" i="40" s="1"/>
  <c r="BG21" i="40" l="1"/>
  <c r="I26" i="40"/>
  <c r="L25" i="40"/>
  <c r="Z22" i="40"/>
  <c r="AK24" i="40" s="1"/>
  <c r="AV22" i="40" s="1"/>
  <c r="AW22" i="40" s="1"/>
  <c r="Q22" i="40"/>
  <c r="AX25" i="40"/>
  <c r="BA24" i="40"/>
  <c r="H24" i="40"/>
  <c r="AU23" i="40"/>
  <c r="AA23" i="40"/>
  <c r="AJ25" i="40" s="1"/>
  <c r="G23" i="40"/>
  <c r="AB27" i="40"/>
  <c r="AE26" i="40"/>
  <c r="AT29" i="40"/>
  <c r="AI24" i="40" s="1"/>
  <c r="AS30" i="40"/>
  <c r="P22" i="40"/>
  <c r="AL28" i="40"/>
  <c r="AO27" i="40"/>
  <c r="R26" i="40"/>
  <c r="U25" i="40"/>
  <c r="BG22" i="40" l="1"/>
  <c r="H25" i="40"/>
  <c r="AU24" i="40"/>
  <c r="AA24" i="40"/>
  <c r="AJ26" i="40" s="1"/>
  <c r="G24" i="40"/>
  <c r="AT30" i="40"/>
  <c r="AI25" i="40" s="1"/>
  <c r="AS31" i="40"/>
  <c r="AB28" i="40"/>
  <c r="AE27" i="40"/>
  <c r="AX26" i="40"/>
  <c r="BA25" i="40"/>
  <c r="I27" i="40"/>
  <c r="L26" i="40"/>
  <c r="R27" i="40"/>
  <c r="U26" i="40"/>
  <c r="Q23" i="40"/>
  <c r="Z23" i="40"/>
  <c r="AK25" i="40" s="1"/>
  <c r="AV23" i="40" s="1"/>
  <c r="AW23" i="40" s="1"/>
  <c r="AL29" i="40"/>
  <c r="AO28" i="40"/>
  <c r="P23" i="40"/>
  <c r="BG23" i="40" l="1"/>
  <c r="Z24" i="40"/>
  <c r="AK26" i="40" s="1"/>
  <c r="AV24" i="40" s="1"/>
  <c r="AW24" i="40" s="1"/>
  <c r="Q24" i="40"/>
  <c r="P24" i="40"/>
  <c r="R28" i="40"/>
  <c r="U27" i="40"/>
  <c r="I28" i="40"/>
  <c r="L27" i="40"/>
  <c r="AX27" i="40"/>
  <c r="BA26" i="40"/>
  <c r="AB29" i="40"/>
  <c r="AE28" i="40"/>
  <c r="AL30" i="40"/>
  <c r="AO29" i="40"/>
  <c r="AS32" i="40"/>
  <c r="AT31" i="40"/>
  <c r="AI26" i="40" s="1"/>
  <c r="H26" i="40"/>
  <c r="AU25" i="40"/>
  <c r="G25" i="40"/>
  <c r="AA25" i="40"/>
  <c r="AJ27" i="40" s="1"/>
  <c r="Z25" i="40" l="1"/>
  <c r="AK27" i="40" s="1"/>
  <c r="AV25" i="40" s="1"/>
  <c r="AW25" i="40" s="1"/>
  <c r="Q25" i="40"/>
  <c r="AX28" i="40"/>
  <c r="BA27" i="40"/>
  <c r="I29" i="40"/>
  <c r="L28" i="40"/>
  <c r="AL31" i="40"/>
  <c r="AO30" i="40"/>
  <c r="AB30" i="40"/>
  <c r="AE29" i="40"/>
  <c r="R29" i="40"/>
  <c r="U28" i="40"/>
  <c r="AS33" i="40"/>
  <c r="AT32" i="40"/>
  <c r="AI27" i="40" s="1"/>
  <c r="H27" i="40"/>
  <c r="AU26" i="40"/>
  <c r="AA26" i="40"/>
  <c r="AJ28" i="40" s="1"/>
  <c r="G26" i="40"/>
  <c r="BG24" i="40"/>
  <c r="P25" i="40"/>
  <c r="H28" i="40" l="1"/>
  <c r="AU27" i="40"/>
  <c r="AA27" i="40"/>
  <c r="AJ29" i="40" s="1"/>
  <c r="G27" i="40"/>
  <c r="R30" i="40"/>
  <c r="U29" i="40"/>
  <c r="I30" i="40"/>
  <c r="L29" i="40"/>
  <c r="AT33" i="40"/>
  <c r="AI28" i="40" s="1"/>
  <c r="AS34" i="40"/>
  <c r="BG25" i="40"/>
  <c r="Z26" i="40"/>
  <c r="AK28" i="40" s="1"/>
  <c r="AV26" i="40" s="1"/>
  <c r="AW26" i="40" s="1"/>
  <c r="Q26" i="40"/>
  <c r="P26" i="40"/>
  <c r="AB31" i="40"/>
  <c r="AE30" i="40"/>
  <c r="AL32" i="40"/>
  <c r="AO31" i="40"/>
  <c r="AX29" i="40"/>
  <c r="BA28" i="40"/>
  <c r="R31" i="40" l="1"/>
  <c r="U30" i="40"/>
  <c r="H29" i="40"/>
  <c r="AU28" i="40"/>
  <c r="AA28" i="40"/>
  <c r="AJ30" i="40" s="1"/>
  <c r="G28" i="40"/>
  <c r="AX30" i="40"/>
  <c r="BA29" i="40"/>
  <c r="AL33" i="40"/>
  <c r="AO32" i="40"/>
  <c r="AB32" i="40"/>
  <c r="AE31" i="40"/>
  <c r="BG26" i="40"/>
  <c r="AT34" i="40"/>
  <c r="AI29" i="40" s="1"/>
  <c r="AS35" i="40"/>
  <c r="L30" i="40"/>
  <c r="I31" i="40"/>
  <c r="Z27" i="40"/>
  <c r="AK29" i="40" s="1"/>
  <c r="AV27" i="40" s="1"/>
  <c r="AW27" i="40" s="1"/>
  <c r="Q27" i="40"/>
  <c r="P27" i="40"/>
  <c r="BG27" i="40" l="1"/>
  <c r="AS36" i="40"/>
  <c r="AT35" i="40"/>
  <c r="AI30" i="40" s="1"/>
  <c r="AX31" i="40"/>
  <c r="BA30" i="40"/>
  <c r="Q28" i="40"/>
  <c r="Z28" i="40"/>
  <c r="AK30" i="40" s="1"/>
  <c r="AV28" i="40" s="1"/>
  <c r="AW28" i="40" s="1"/>
  <c r="I32" i="40"/>
  <c r="L31" i="40"/>
  <c r="AL34" i="40"/>
  <c r="AO33" i="40"/>
  <c r="P28" i="40"/>
  <c r="AB33" i="40"/>
  <c r="AE32" i="40"/>
  <c r="U31" i="40"/>
  <c r="R32" i="40"/>
  <c r="H30" i="40"/>
  <c r="AU29" i="40"/>
  <c r="AA29" i="40"/>
  <c r="AJ31" i="40" s="1"/>
  <c r="G29" i="40"/>
  <c r="BG28" i="40" l="1"/>
  <c r="P29" i="40"/>
  <c r="R33" i="40"/>
  <c r="U32" i="40"/>
  <c r="H31" i="40"/>
  <c r="AU30" i="40"/>
  <c r="AA30" i="40"/>
  <c r="AJ32" i="40" s="1"/>
  <c r="G30" i="40"/>
  <c r="I33" i="40"/>
  <c r="L32" i="40"/>
  <c r="BA31" i="40"/>
  <c r="AX32" i="40"/>
  <c r="Z29" i="40"/>
  <c r="AK31" i="40" s="1"/>
  <c r="AV29" i="40" s="1"/>
  <c r="AW29" i="40" s="1"/>
  <c r="Q29" i="40"/>
  <c r="AB34" i="40"/>
  <c r="AE33" i="40"/>
  <c r="AL35" i="40"/>
  <c r="AO34" i="40"/>
  <c r="AS37" i="40"/>
  <c r="AT36" i="40"/>
  <c r="AI31" i="40" s="1"/>
  <c r="BG29" i="40" l="1"/>
  <c r="AX33" i="40"/>
  <c r="BA32" i="40"/>
  <c r="P30" i="40"/>
  <c r="AT37" i="40"/>
  <c r="AI32" i="40" s="1"/>
  <c r="AS38" i="40"/>
  <c r="AB35" i="40"/>
  <c r="AE34" i="40"/>
  <c r="I34" i="40"/>
  <c r="L33" i="40"/>
  <c r="H32" i="40"/>
  <c r="AU31" i="40"/>
  <c r="AA31" i="40"/>
  <c r="AJ33" i="40" s="1"/>
  <c r="G31" i="40"/>
  <c r="R34" i="40"/>
  <c r="U33" i="40"/>
  <c r="AO35" i="40"/>
  <c r="AL36" i="40"/>
  <c r="Z30" i="40"/>
  <c r="AK32" i="40" s="1"/>
  <c r="AV30" i="40" s="1"/>
  <c r="AW30" i="40" s="1"/>
  <c r="Q30" i="40"/>
  <c r="BG30" i="40" l="1"/>
  <c r="AL37" i="40"/>
  <c r="AO36" i="40"/>
  <c r="I35" i="40"/>
  <c r="L34" i="40"/>
  <c r="H33" i="40"/>
  <c r="AU32" i="40"/>
  <c r="AA32" i="40"/>
  <c r="AJ34" i="40" s="1"/>
  <c r="G32" i="40"/>
  <c r="Z31" i="40"/>
  <c r="AK33" i="40" s="1"/>
  <c r="AV31" i="40" s="1"/>
  <c r="AW31" i="40" s="1"/>
  <c r="Q31" i="40"/>
  <c r="AB36" i="40"/>
  <c r="AE35" i="40"/>
  <c r="R35" i="40"/>
  <c r="U34" i="40"/>
  <c r="P31" i="40"/>
  <c r="AT38" i="40"/>
  <c r="AI33" i="40" s="1"/>
  <c r="AS39" i="40"/>
  <c r="AX34" i="40"/>
  <c r="BA33" i="40"/>
  <c r="R36" i="40" l="1"/>
  <c r="U35" i="40"/>
  <c r="Q32" i="40"/>
  <c r="Z32" i="40"/>
  <c r="AK34" i="40" s="1"/>
  <c r="AV32" i="40" s="1"/>
  <c r="AW32" i="40" s="1"/>
  <c r="I36" i="40"/>
  <c r="L35" i="40"/>
  <c r="AX35" i="40"/>
  <c r="BA34" i="40"/>
  <c r="P32" i="40"/>
  <c r="AL38" i="40"/>
  <c r="AO37" i="40"/>
  <c r="BG31" i="40"/>
  <c r="AS40" i="40"/>
  <c r="AT39" i="40"/>
  <c r="AI34" i="40" s="1"/>
  <c r="AB37" i="40"/>
  <c r="AE36" i="40"/>
  <c r="G33" i="40"/>
  <c r="H34" i="40"/>
  <c r="AU33" i="40"/>
  <c r="AA33" i="40"/>
  <c r="AJ35" i="40" s="1"/>
  <c r="AL39" i="40" l="1"/>
  <c r="AO38" i="40"/>
  <c r="I37" i="40"/>
  <c r="L36" i="40"/>
  <c r="R37" i="40"/>
  <c r="U36" i="40"/>
  <c r="H35" i="40"/>
  <c r="AU34" i="40"/>
  <c r="AA34" i="40"/>
  <c r="AJ36" i="40" s="1"/>
  <c r="G34" i="40"/>
  <c r="AB38" i="40"/>
  <c r="AE37" i="40"/>
  <c r="BG32" i="40"/>
  <c r="AX36" i="40"/>
  <c r="BA35" i="40"/>
  <c r="Z33" i="40"/>
  <c r="AK35" i="40" s="1"/>
  <c r="AV33" i="40" s="1"/>
  <c r="AW33" i="40" s="1"/>
  <c r="Q33" i="40"/>
  <c r="P33" i="40"/>
  <c r="AS41" i="40"/>
  <c r="AT40" i="40"/>
  <c r="AI35" i="40" s="1"/>
  <c r="BG33" i="40" l="1"/>
  <c r="H36" i="40"/>
  <c r="AU35" i="40"/>
  <c r="AA35" i="40"/>
  <c r="AJ37" i="40" s="1"/>
  <c r="G35" i="40"/>
  <c r="Z34" i="40"/>
  <c r="AK36" i="40" s="1"/>
  <c r="AV34" i="40" s="1"/>
  <c r="AW34" i="40" s="1"/>
  <c r="Q34" i="40"/>
  <c r="AL40" i="40"/>
  <c r="AO39" i="40"/>
  <c r="AX37" i="40"/>
  <c r="BA36" i="40"/>
  <c r="P34" i="40"/>
  <c r="I38" i="40"/>
  <c r="L37" i="40"/>
  <c r="AT41" i="40"/>
  <c r="AI36" i="40" s="1"/>
  <c r="AS42" i="40"/>
  <c r="AB39" i="40"/>
  <c r="AE38" i="40"/>
  <c r="R38" i="40"/>
  <c r="U37" i="40"/>
  <c r="BG34" i="40" l="1"/>
  <c r="R39" i="40"/>
  <c r="U38" i="40"/>
  <c r="AB40" i="40"/>
  <c r="AE39" i="40"/>
  <c r="H37" i="40"/>
  <c r="AU36" i="40"/>
  <c r="AA36" i="40"/>
  <c r="AJ38" i="40" s="1"/>
  <c r="G36" i="40"/>
  <c r="AX38" i="40"/>
  <c r="BA37" i="40"/>
  <c r="AT42" i="40"/>
  <c r="AI37" i="40" s="1"/>
  <c r="AS43" i="40"/>
  <c r="I39" i="40"/>
  <c r="L38" i="40"/>
  <c r="AL41" i="40"/>
  <c r="AO40" i="40"/>
  <c r="Z35" i="40"/>
  <c r="AK37" i="40" s="1"/>
  <c r="AV35" i="40" s="1"/>
  <c r="AW35" i="40" s="1"/>
  <c r="Q35" i="40"/>
  <c r="P35" i="40"/>
  <c r="I40" i="40" l="1"/>
  <c r="L39" i="40"/>
  <c r="BG35" i="40"/>
  <c r="AB41" i="40"/>
  <c r="AE40" i="40"/>
  <c r="AA37" i="40"/>
  <c r="AJ39" i="40" s="1"/>
  <c r="G37" i="40"/>
  <c r="H38" i="40"/>
  <c r="AU37" i="40"/>
  <c r="AS44" i="40"/>
  <c r="AT43" i="40"/>
  <c r="AI38" i="40" s="1"/>
  <c r="Q36" i="40"/>
  <c r="Z36" i="40"/>
  <c r="AK38" i="40" s="1"/>
  <c r="AV36" i="40" s="1"/>
  <c r="AW36" i="40" s="1"/>
  <c r="AL42" i="40"/>
  <c r="AO41" i="40"/>
  <c r="AX39" i="40"/>
  <c r="BA38" i="40"/>
  <c r="P36" i="40"/>
  <c r="R40" i="40"/>
  <c r="U39" i="40"/>
  <c r="BG36" i="40" l="1"/>
  <c r="AE41" i="40"/>
  <c r="AB42" i="40"/>
  <c r="R41" i="40"/>
  <c r="U40" i="40"/>
  <c r="P37" i="40"/>
  <c r="AX40" i="40"/>
  <c r="BA39" i="40"/>
  <c r="AL43" i="40"/>
  <c r="AO42" i="40"/>
  <c r="H39" i="40"/>
  <c r="AU38" i="40"/>
  <c r="AA38" i="40"/>
  <c r="AJ40" i="40" s="1"/>
  <c r="G38" i="40"/>
  <c r="AS45" i="40"/>
  <c r="AT44" i="40"/>
  <c r="AI39" i="40" s="1"/>
  <c r="Z37" i="40"/>
  <c r="AK39" i="40" s="1"/>
  <c r="AV37" i="40" s="1"/>
  <c r="AW37" i="40" s="1"/>
  <c r="Q37" i="40"/>
  <c r="I41" i="40"/>
  <c r="L40" i="40"/>
  <c r="BG37" i="40" l="1"/>
  <c r="P38" i="40"/>
  <c r="AL44" i="40"/>
  <c r="AO43" i="40"/>
  <c r="AB43" i="40"/>
  <c r="AE42" i="40"/>
  <c r="AS46" i="40"/>
  <c r="AT45" i="40"/>
  <c r="AI40" i="40" s="1"/>
  <c r="I42" i="40"/>
  <c r="L41" i="40"/>
  <c r="H40" i="40"/>
  <c r="AU39" i="40"/>
  <c r="AA39" i="40"/>
  <c r="AJ41" i="40" s="1"/>
  <c r="G39" i="40"/>
  <c r="R42" i="40"/>
  <c r="U41" i="40"/>
  <c r="Z38" i="40"/>
  <c r="AK40" i="40" s="1"/>
  <c r="AV38" i="40" s="1"/>
  <c r="AW38" i="40" s="1"/>
  <c r="Q38" i="40"/>
  <c r="AX41" i="40"/>
  <c r="BA40" i="40"/>
  <c r="I43" i="40" l="1"/>
  <c r="L42" i="40"/>
  <c r="R43" i="40"/>
  <c r="U42" i="40"/>
  <c r="AB44" i="40"/>
  <c r="AE43" i="40"/>
  <c r="H41" i="40"/>
  <c r="AU40" i="40"/>
  <c r="AA40" i="40"/>
  <c r="AJ42" i="40" s="1"/>
  <c r="G40" i="40"/>
  <c r="BG38" i="40"/>
  <c r="AX42" i="40"/>
  <c r="BA41" i="40"/>
  <c r="Z39" i="40"/>
  <c r="AK41" i="40" s="1"/>
  <c r="AV39" i="40" s="1"/>
  <c r="AW39" i="40" s="1"/>
  <c r="Q39" i="40"/>
  <c r="AS47" i="40"/>
  <c r="AT46" i="40"/>
  <c r="AI41" i="40" s="1"/>
  <c r="P39" i="40"/>
  <c r="AL45" i="40"/>
  <c r="AO44" i="40"/>
  <c r="BG39" i="40" l="1"/>
  <c r="H42" i="40"/>
  <c r="AU41" i="40"/>
  <c r="AA41" i="40"/>
  <c r="AJ43" i="40" s="1"/>
  <c r="G41" i="40"/>
  <c r="AO45" i="40"/>
  <c r="AL46" i="40"/>
  <c r="AX43" i="40"/>
  <c r="BA42" i="40"/>
  <c r="Q40" i="40"/>
  <c r="Z40" i="40"/>
  <c r="AK42" i="40" s="1"/>
  <c r="AV40" i="40" s="1"/>
  <c r="AW40" i="40" s="1"/>
  <c r="R44" i="40"/>
  <c r="U43" i="40"/>
  <c r="AT47" i="40"/>
  <c r="AI42" i="40" s="1"/>
  <c r="AS48" i="40"/>
  <c r="P40" i="40"/>
  <c r="AB45" i="40"/>
  <c r="AE44" i="40"/>
  <c r="I44" i="40"/>
  <c r="L43" i="40"/>
  <c r="BG40" i="40" l="1"/>
  <c r="Z41" i="40"/>
  <c r="AK43" i="40" s="1"/>
  <c r="AV41" i="40" s="1"/>
  <c r="AW41" i="40" s="1"/>
  <c r="Q41" i="40"/>
  <c r="AB46" i="40"/>
  <c r="AE45" i="40"/>
  <c r="I45" i="40"/>
  <c r="L44" i="40"/>
  <c r="R45" i="40"/>
  <c r="U44" i="40"/>
  <c r="P41" i="40"/>
  <c r="AS49" i="40"/>
  <c r="AT48" i="40"/>
  <c r="AI43" i="40" s="1"/>
  <c r="AL47" i="40"/>
  <c r="AO46" i="40"/>
  <c r="AX44" i="40"/>
  <c r="BA43" i="40"/>
  <c r="H43" i="40"/>
  <c r="AU42" i="40"/>
  <c r="AA42" i="40"/>
  <c r="AJ44" i="40" s="1"/>
  <c r="G42" i="40"/>
  <c r="BG41" i="40" l="1"/>
  <c r="H44" i="40"/>
  <c r="AU43" i="40"/>
  <c r="AA43" i="40"/>
  <c r="AJ45" i="40" s="1"/>
  <c r="G43" i="40"/>
  <c r="R46" i="40"/>
  <c r="U45" i="40"/>
  <c r="P42" i="40"/>
  <c r="AX45" i="40"/>
  <c r="BA44" i="40"/>
  <c r="AB47" i="40"/>
  <c r="AE46" i="40"/>
  <c r="I46" i="40"/>
  <c r="L45" i="40"/>
  <c r="AL48" i="40"/>
  <c r="AO47" i="40"/>
  <c r="Z42" i="40"/>
  <c r="AK44" i="40" s="1"/>
  <c r="AV42" i="40" s="1"/>
  <c r="AW42" i="40" s="1"/>
  <c r="Q42" i="40"/>
  <c r="AS50" i="40"/>
  <c r="AT49" i="40"/>
  <c r="AI44" i="40" s="1"/>
  <c r="R47" i="40" l="1"/>
  <c r="U46" i="40"/>
  <c r="AL49" i="40"/>
  <c r="AO48" i="40"/>
  <c r="BG42" i="40"/>
  <c r="P43" i="40"/>
  <c r="I47" i="40"/>
  <c r="L46" i="40"/>
  <c r="AB48" i="40"/>
  <c r="AE47" i="40"/>
  <c r="AT50" i="40"/>
  <c r="AI45" i="40" s="1"/>
  <c r="AS51" i="40"/>
  <c r="Z43" i="40"/>
  <c r="AK45" i="40" s="1"/>
  <c r="AV43" i="40" s="1"/>
  <c r="AW43" i="40" s="1"/>
  <c r="Q43" i="40"/>
  <c r="AX46" i="40"/>
  <c r="BA45" i="40"/>
  <c r="H45" i="40"/>
  <c r="AU44" i="40"/>
  <c r="AA44" i="40"/>
  <c r="AJ46" i="40" s="1"/>
  <c r="G44" i="40"/>
  <c r="BG43" i="40" l="1"/>
  <c r="H46" i="40"/>
  <c r="AU45" i="40"/>
  <c r="AA45" i="40"/>
  <c r="AJ47" i="40" s="1"/>
  <c r="G45" i="40"/>
  <c r="AT51" i="40"/>
  <c r="AI46" i="40" s="1"/>
  <c r="AS52" i="40"/>
  <c r="AB49" i="40"/>
  <c r="AE48" i="40"/>
  <c r="AL50" i="40"/>
  <c r="AO49" i="40"/>
  <c r="R48" i="40"/>
  <c r="U47" i="40"/>
  <c r="L47" i="40"/>
  <c r="I48" i="40"/>
  <c r="Q44" i="40"/>
  <c r="Z44" i="40"/>
  <c r="AK46" i="40" s="1"/>
  <c r="AV44" i="40" s="1"/>
  <c r="AW44" i="40" s="1"/>
  <c r="AX47" i="40"/>
  <c r="BA46" i="40"/>
  <c r="P44" i="40"/>
  <c r="Z45" i="40" l="1"/>
  <c r="AK47" i="40" s="1"/>
  <c r="AV45" i="40" s="1"/>
  <c r="AW45" i="40" s="1"/>
  <c r="Q45" i="40"/>
  <c r="P45" i="40"/>
  <c r="AX48" i="40"/>
  <c r="BA47" i="40"/>
  <c r="I49" i="40"/>
  <c r="L48" i="40"/>
  <c r="AL51" i="40"/>
  <c r="AO50" i="40"/>
  <c r="AS53" i="40"/>
  <c r="AT52" i="40"/>
  <c r="AI47" i="40" s="1"/>
  <c r="BG44" i="40"/>
  <c r="AB50" i="40"/>
  <c r="AE49" i="40"/>
  <c r="U48" i="40"/>
  <c r="R49" i="40"/>
  <c r="G46" i="40"/>
  <c r="H47" i="40"/>
  <c r="AU46" i="40"/>
  <c r="AA46" i="40"/>
  <c r="AJ48" i="40" s="1"/>
  <c r="BA48" i="40" l="1"/>
  <c r="AX49" i="40"/>
  <c r="H48" i="40"/>
  <c r="AU47" i="40"/>
  <c r="AA47" i="40"/>
  <c r="AJ49" i="40" s="1"/>
  <c r="G47" i="40"/>
  <c r="R50" i="40"/>
  <c r="U49" i="40"/>
  <c r="BG45" i="40"/>
  <c r="I50" i="40"/>
  <c r="L49" i="40"/>
  <c r="Q46" i="40"/>
  <c r="Z46" i="40"/>
  <c r="AK48" i="40" s="1"/>
  <c r="AV46" i="40" s="1"/>
  <c r="AW46" i="40" s="1"/>
  <c r="AB51" i="40"/>
  <c r="AE50" i="40"/>
  <c r="AL52" i="40"/>
  <c r="AO51" i="40"/>
  <c r="P46" i="40"/>
  <c r="AS54" i="40"/>
  <c r="AT53" i="40"/>
  <c r="AI48" i="40" s="1"/>
  <c r="Z47" i="40" l="1"/>
  <c r="AK49" i="40" s="1"/>
  <c r="AV47" i="40" s="1"/>
  <c r="AW47" i="40" s="1"/>
  <c r="Q47" i="40"/>
  <c r="AX50" i="40"/>
  <c r="BA49" i="40"/>
  <c r="AO52" i="40"/>
  <c r="AL53" i="40"/>
  <c r="P47" i="40"/>
  <c r="I51" i="40"/>
  <c r="L50" i="40"/>
  <c r="AS55" i="40"/>
  <c r="AT54" i="40"/>
  <c r="AI49" i="40" s="1"/>
  <c r="AB52" i="40"/>
  <c r="AE51" i="40"/>
  <c r="BG46" i="40"/>
  <c r="R51" i="40"/>
  <c r="U50" i="40"/>
  <c r="H49" i="40"/>
  <c r="AU48" i="40"/>
  <c r="AA48" i="40"/>
  <c r="AJ50" i="40" s="1"/>
  <c r="G48" i="40"/>
  <c r="Z48" i="40" l="1"/>
  <c r="AK50" i="40" s="1"/>
  <c r="AV48" i="40" s="1"/>
  <c r="AW48" i="40" s="1"/>
  <c r="Q48" i="40"/>
  <c r="P48" i="40"/>
  <c r="AT55" i="40"/>
  <c r="AI50" i="40" s="1"/>
  <c r="AS56" i="40"/>
  <c r="I52" i="40"/>
  <c r="L51" i="40"/>
  <c r="AX51" i="40"/>
  <c r="BA50" i="40"/>
  <c r="R52" i="40"/>
  <c r="U51" i="40"/>
  <c r="BG47" i="40"/>
  <c r="H50" i="40"/>
  <c r="AU49" i="40"/>
  <c r="AA49" i="40"/>
  <c r="AJ51" i="40" s="1"/>
  <c r="G49" i="40"/>
  <c r="AB53" i="40"/>
  <c r="AE52" i="40"/>
  <c r="AL54" i="40"/>
  <c r="AO53" i="40"/>
  <c r="Q49" i="40" l="1"/>
  <c r="Z49" i="40"/>
  <c r="AK51" i="40" s="1"/>
  <c r="AV49" i="40" s="1"/>
  <c r="AW49" i="40" s="1"/>
  <c r="BG48" i="40"/>
  <c r="AL55" i="40"/>
  <c r="AO54" i="40"/>
  <c r="AB54" i="40"/>
  <c r="AE53" i="40"/>
  <c r="G50" i="40"/>
  <c r="H51" i="40"/>
  <c r="AU50" i="40"/>
  <c r="AA50" i="40"/>
  <c r="AJ52" i="40" s="1"/>
  <c r="I53" i="40"/>
  <c r="L52" i="40"/>
  <c r="R53" i="40"/>
  <c r="U52" i="40"/>
  <c r="AX52" i="40"/>
  <c r="BA51" i="40"/>
  <c r="P49" i="40"/>
  <c r="AS57" i="40"/>
  <c r="AT56" i="40"/>
  <c r="AI51" i="40" s="1"/>
  <c r="BG49" i="40" l="1"/>
  <c r="R54" i="40"/>
  <c r="U53" i="40"/>
  <c r="P50" i="40"/>
  <c r="I54" i="40"/>
  <c r="L53" i="40"/>
  <c r="AX53" i="40"/>
  <c r="BA52" i="40"/>
  <c r="AL56" i="40"/>
  <c r="AO55" i="40"/>
  <c r="AS58" i="40"/>
  <c r="AT57" i="40"/>
  <c r="AI52" i="40" s="1"/>
  <c r="H52" i="40"/>
  <c r="AU51" i="40"/>
  <c r="AA51" i="40"/>
  <c r="AJ53" i="40" s="1"/>
  <c r="G51" i="40"/>
  <c r="AB55" i="40"/>
  <c r="AE54" i="40"/>
  <c r="Z50" i="40"/>
  <c r="AK52" i="40" s="1"/>
  <c r="AV50" i="40" s="1"/>
  <c r="AW50" i="40" s="1"/>
  <c r="Q50" i="40"/>
  <c r="AT58" i="40" l="1"/>
  <c r="AI53" i="40" s="1"/>
  <c r="AS59" i="40"/>
  <c r="AB56" i="40"/>
  <c r="AE55" i="40"/>
  <c r="P51" i="40"/>
  <c r="BG50" i="40"/>
  <c r="I55" i="40"/>
  <c r="L54" i="40"/>
  <c r="H53" i="40"/>
  <c r="AU52" i="40"/>
  <c r="AA52" i="40"/>
  <c r="AJ54" i="40" s="1"/>
  <c r="G52" i="40"/>
  <c r="Z51" i="40"/>
  <c r="AK53" i="40" s="1"/>
  <c r="AV51" i="40" s="1"/>
  <c r="AW51" i="40" s="1"/>
  <c r="Q51" i="40"/>
  <c r="AL57" i="40"/>
  <c r="AO56" i="40"/>
  <c r="AX54" i="40"/>
  <c r="BA53" i="40"/>
  <c r="R55" i="40"/>
  <c r="U54" i="40"/>
  <c r="R56" i="40" l="1"/>
  <c r="U55" i="40"/>
  <c r="AX55" i="40"/>
  <c r="BA54" i="40"/>
  <c r="L55" i="40"/>
  <c r="I56" i="40"/>
  <c r="BG51" i="40"/>
  <c r="P52" i="40"/>
  <c r="AT59" i="40"/>
  <c r="AI54" i="40" s="1"/>
  <c r="AS60" i="40"/>
  <c r="Z52" i="40"/>
  <c r="AK54" i="40" s="1"/>
  <c r="AV52" i="40" s="1"/>
  <c r="AW52" i="40" s="1"/>
  <c r="Q52" i="40"/>
  <c r="AL58" i="40"/>
  <c r="AO57" i="40"/>
  <c r="H54" i="40"/>
  <c r="AU53" i="40"/>
  <c r="AA53" i="40"/>
  <c r="AJ55" i="40" s="1"/>
  <c r="G53" i="40"/>
  <c r="AB57" i="40"/>
  <c r="AE56" i="40"/>
  <c r="Q53" i="40" l="1"/>
  <c r="Z53" i="40"/>
  <c r="AK55" i="40" s="1"/>
  <c r="AV53" i="40" s="1"/>
  <c r="AW53" i="40" s="1"/>
  <c r="BG52" i="40"/>
  <c r="AX56" i="40"/>
  <c r="BA55" i="40"/>
  <c r="AA54" i="40"/>
  <c r="AJ56" i="40" s="1"/>
  <c r="G54" i="40"/>
  <c r="AU54" i="40"/>
  <c r="H55" i="40"/>
  <c r="AS61" i="40"/>
  <c r="AT60" i="40"/>
  <c r="AI55" i="40" s="1"/>
  <c r="I57" i="40"/>
  <c r="L56" i="40"/>
  <c r="AB58" i="40"/>
  <c r="AE57" i="40"/>
  <c r="P53" i="40"/>
  <c r="AL59" i="40"/>
  <c r="AO58" i="40"/>
  <c r="U56" i="40"/>
  <c r="R57" i="40"/>
  <c r="BG53" i="40" l="1"/>
  <c r="AL60" i="40"/>
  <c r="AO59" i="40"/>
  <c r="Z54" i="40"/>
  <c r="AK56" i="40" s="1"/>
  <c r="AV54" i="40" s="1"/>
  <c r="AW54" i="40" s="1"/>
  <c r="Q54" i="40"/>
  <c r="BA56" i="40"/>
  <c r="AX57" i="40"/>
  <c r="I58" i="40"/>
  <c r="L57" i="40"/>
  <c r="AS62" i="40"/>
  <c r="AT61" i="40"/>
  <c r="AI56" i="40" s="1"/>
  <c r="P54" i="40"/>
  <c r="R58" i="40"/>
  <c r="U57" i="40"/>
  <c r="AB59" i="40"/>
  <c r="AE58" i="40"/>
  <c r="H56" i="40"/>
  <c r="AU55" i="40"/>
  <c r="G55" i="40"/>
  <c r="AA55" i="40"/>
  <c r="AJ57" i="40" s="1"/>
  <c r="BG54" i="40" l="1"/>
  <c r="P55" i="40"/>
  <c r="Z55" i="40"/>
  <c r="AK57" i="40" s="1"/>
  <c r="AV55" i="40" s="1"/>
  <c r="Q55" i="40"/>
  <c r="AB60" i="40"/>
  <c r="AE59" i="40"/>
  <c r="R59" i="40"/>
  <c r="U58" i="40"/>
  <c r="AT62" i="40"/>
  <c r="AI57" i="40" s="1"/>
  <c r="AS63" i="40"/>
  <c r="H57" i="40"/>
  <c r="AU56" i="40"/>
  <c r="AA56" i="40"/>
  <c r="AJ58" i="40" s="1"/>
  <c r="G56" i="40"/>
  <c r="AW55" i="40"/>
  <c r="AO60" i="40"/>
  <c r="AL61" i="40"/>
  <c r="I59" i="40"/>
  <c r="L58" i="40"/>
  <c r="AX58" i="40"/>
  <c r="BA57" i="40"/>
  <c r="I60" i="40" l="1"/>
  <c r="L59" i="40"/>
  <c r="AL62" i="40"/>
  <c r="AO61" i="40"/>
  <c r="AT63" i="40"/>
  <c r="AI58" i="40" s="1"/>
  <c r="AS64" i="40"/>
  <c r="R60" i="40"/>
  <c r="U59" i="40"/>
  <c r="AX59" i="40"/>
  <c r="BA58" i="40"/>
  <c r="H58" i="40"/>
  <c r="AU57" i="40"/>
  <c r="AA57" i="40"/>
  <c r="AJ59" i="40" s="1"/>
  <c r="G57" i="40"/>
  <c r="Z56" i="40"/>
  <c r="AK58" i="40" s="1"/>
  <c r="AV56" i="40" s="1"/>
  <c r="AW56" i="40" s="1"/>
  <c r="Q56" i="40"/>
  <c r="BG55" i="40"/>
  <c r="P56" i="40"/>
  <c r="AB61" i="40"/>
  <c r="AE60" i="40"/>
  <c r="BG56" i="40" l="1"/>
  <c r="P57" i="40"/>
  <c r="R61" i="40"/>
  <c r="U60" i="40"/>
  <c r="I61" i="40"/>
  <c r="L60" i="40"/>
  <c r="AB62" i="40"/>
  <c r="AE61" i="40"/>
  <c r="AX60" i="40"/>
  <c r="BA59" i="40"/>
  <c r="AS65" i="40"/>
  <c r="AT64" i="40"/>
  <c r="AI59" i="40" s="1"/>
  <c r="G58" i="40"/>
  <c r="H59" i="40"/>
  <c r="AU58" i="40"/>
  <c r="AA58" i="40"/>
  <c r="AJ60" i="40" s="1"/>
  <c r="AL63" i="40"/>
  <c r="AO62" i="40"/>
  <c r="Q57" i="40"/>
  <c r="Z57" i="40"/>
  <c r="AK59" i="40" s="1"/>
  <c r="AV57" i="40" s="1"/>
  <c r="AW57" i="40" s="1"/>
  <c r="BG57" i="40" l="1"/>
  <c r="Z58" i="40"/>
  <c r="AK60" i="40" s="1"/>
  <c r="AV58" i="40" s="1"/>
  <c r="AW58" i="40" s="1"/>
  <c r="Q58" i="40"/>
  <c r="AL64" i="40"/>
  <c r="AO63" i="40"/>
  <c r="P58" i="40"/>
  <c r="AX61" i="40"/>
  <c r="BA60" i="40"/>
  <c r="I62" i="40"/>
  <c r="L61" i="40"/>
  <c r="AS66" i="40"/>
  <c r="AT65" i="40"/>
  <c r="AI60" i="40" s="1"/>
  <c r="AB63" i="40"/>
  <c r="AE62" i="40"/>
  <c r="H60" i="40"/>
  <c r="AU59" i="40"/>
  <c r="AA59" i="40"/>
  <c r="AJ61" i="40" s="1"/>
  <c r="G59" i="40"/>
  <c r="R62" i="40"/>
  <c r="U61" i="40"/>
  <c r="BG58" i="40" l="1"/>
  <c r="H61" i="40"/>
  <c r="AU60" i="40"/>
  <c r="AA60" i="40"/>
  <c r="AJ62" i="40" s="1"/>
  <c r="G60" i="40"/>
  <c r="AT66" i="40"/>
  <c r="AI61" i="40" s="1"/>
  <c r="AS67" i="40"/>
  <c r="R63" i="40"/>
  <c r="U62" i="40"/>
  <c r="P59" i="40"/>
  <c r="AB64" i="40"/>
  <c r="AE63" i="40"/>
  <c r="I63" i="40"/>
  <c r="L62" i="40"/>
  <c r="AX62" i="40"/>
  <c r="BA61" i="40"/>
  <c r="Z59" i="40"/>
  <c r="AK61" i="40" s="1"/>
  <c r="AV59" i="40" s="1"/>
  <c r="AW59" i="40" s="1"/>
  <c r="Q59" i="40"/>
  <c r="AL65" i="40"/>
  <c r="AO64" i="40"/>
  <c r="BG59" i="40" l="1"/>
  <c r="I64" i="40"/>
  <c r="L63" i="40"/>
  <c r="R64" i="40"/>
  <c r="U63" i="40"/>
  <c r="AB65" i="40"/>
  <c r="AE64" i="40"/>
  <c r="Z60" i="40"/>
  <c r="AK62" i="40" s="1"/>
  <c r="AV60" i="40" s="1"/>
  <c r="AW60" i="40" s="1"/>
  <c r="Q60" i="40"/>
  <c r="AX63" i="40"/>
  <c r="BA62" i="40"/>
  <c r="AS68" i="40"/>
  <c r="AT67" i="40"/>
  <c r="AI62" i="40" s="1"/>
  <c r="P60" i="40"/>
  <c r="AL66" i="40"/>
  <c r="AO65" i="40"/>
  <c r="H62" i="40"/>
  <c r="AU61" i="40"/>
  <c r="AA61" i="40"/>
  <c r="AJ63" i="40" s="1"/>
  <c r="G61" i="40"/>
  <c r="I65" i="40" l="1"/>
  <c r="L64" i="40"/>
  <c r="P61" i="40"/>
  <c r="BG60" i="40"/>
  <c r="AL67" i="40"/>
  <c r="AO66" i="40"/>
  <c r="AA62" i="40"/>
  <c r="AJ64" i="40" s="1"/>
  <c r="G62" i="40"/>
  <c r="AU62" i="40"/>
  <c r="H63" i="40"/>
  <c r="AX64" i="40"/>
  <c r="BA63" i="40"/>
  <c r="R65" i="40"/>
  <c r="U64" i="40"/>
  <c r="Q61" i="40"/>
  <c r="Z61" i="40"/>
  <c r="AK63" i="40" s="1"/>
  <c r="AV61" i="40" s="1"/>
  <c r="AW61" i="40" s="1"/>
  <c r="AS69" i="40"/>
  <c r="AT68" i="40"/>
  <c r="AI63" i="40" s="1"/>
  <c r="AB66" i="40"/>
  <c r="AE65" i="40"/>
  <c r="BG61" i="40" l="1"/>
  <c r="AB67" i="40"/>
  <c r="AE66" i="40"/>
  <c r="H64" i="40"/>
  <c r="AU63" i="40"/>
  <c r="AA63" i="40"/>
  <c r="AJ65" i="40" s="1"/>
  <c r="G63" i="40"/>
  <c r="P62" i="40"/>
  <c r="AL68" i="40"/>
  <c r="AO67" i="40"/>
  <c r="L65" i="40"/>
  <c r="I66" i="40"/>
  <c r="AS70" i="40"/>
  <c r="AT69" i="40"/>
  <c r="AI64" i="40" s="1"/>
  <c r="U65" i="40"/>
  <c r="R66" i="40"/>
  <c r="AX65" i="40"/>
  <c r="BA64" i="40"/>
  <c r="Z62" i="40"/>
  <c r="AK64" i="40" s="1"/>
  <c r="AV62" i="40" s="1"/>
  <c r="AW62" i="40" s="1"/>
  <c r="Q62" i="40"/>
  <c r="BG62" i="40" l="1"/>
  <c r="Z63" i="40"/>
  <c r="AK65" i="40" s="1"/>
  <c r="AV63" i="40" s="1"/>
  <c r="AW63" i="40" s="1"/>
  <c r="Q63" i="40"/>
  <c r="AT70" i="40"/>
  <c r="AI65" i="40" s="1"/>
  <c r="AS71" i="40"/>
  <c r="I67" i="40"/>
  <c r="L66" i="40"/>
  <c r="AO68" i="40"/>
  <c r="AL69" i="40"/>
  <c r="AB68" i="40"/>
  <c r="AE67" i="40"/>
  <c r="AX66" i="40"/>
  <c r="BA65" i="40"/>
  <c r="R67" i="40"/>
  <c r="U66" i="40"/>
  <c r="P63" i="40"/>
  <c r="H65" i="40"/>
  <c r="AU64" i="40"/>
  <c r="AA64" i="40"/>
  <c r="AJ66" i="40" s="1"/>
  <c r="G64" i="40"/>
  <c r="BG63" i="40" l="1"/>
  <c r="R68" i="40"/>
  <c r="U67" i="40"/>
  <c r="AL70" i="40"/>
  <c r="AO69" i="40"/>
  <c r="P64" i="40"/>
  <c r="AB69" i="40"/>
  <c r="AE68" i="40"/>
  <c r="BA66" i="40"/>
  <c r="AX67" i="40"/>
  <c r="BH67" i="40" s="1"/>
  <c r="H66" i="40"/>
  <c r="AU65" i="40"/>
  <c r="AA65" i="40"/>
  <c r="AJ67" i="40" s="1"/>
  <c r="G65" i="40"/>
  <c r="I68" i="40"/>
  <c r="L67" i="40"/>
  <c r="Z64" i="40"/>
  <c r="AK66" i="40" s="1"/>
  <c r="AV64" i="40" s="1"/>
  <c r="AW64" i="40" s="1"/>
  <c r="Q64" i="40"/>
  <c r="AS72" i="40"/>
  <c r="AT71" i="40"/>
  <c r="AI66" i="40" s="1"/>
  <c r="BG64" i="40" l="1"/>
  <c r="AL71" i="40"/>
  <c r="AO70" i="40"/>
  <c r="AS73" i="40"/>
  <c r="AT72" i="40"/>
  <c r="AI67" i="40" s="1"/>
  <c r="I69" i="40"/>
  <c r="L68" i="40"/>
  <c r="P65" i="40"/>
  <c r="BA67" i="40"/>
  <c r="AX68" i="40"/>
  <c r="BH68" i="40" s="1"/>
  <c r="BI67" i="40"/>
  <c r="R69" i="40"/>
  <c r="U68" i="40"/>
  <c r="AA66" i="40"/>
  <c r="AJ68" i="40" s="1"/>
  <c r="H67" i="40"/>
  <c r="AU66" i="40"/>
  <c r="G66" i="40"/>
  <c r="Q65" i="40"/>
  <c r="Z65" i="40"/>
  <c r="AK67" i="40" s="1"/>
  <c r="AV65" i="40" s="1"/>
  <c r="AW65" i="40" s="1"/>
  <c r="AE69" i="40"/>
  <c r="AB70" i="40"/>
  <c r="BG65" i="40" l="1"/>
  <c r="BI68" i="40"/>
  <c r="AX69" i="40"/>
  <c r="BA68" i="40"/>
  <c r="AT73" i="40"/>
  <c r="AI68" i="40" s="1"/>
  <c r="AS74" i="40"/>
  <c r="P66" i="40"/>
  <c r="R70" i="40"/>
  <c r="U69" i="40"/>
  <c r="H68" i="40"/>
  <c r="AU67" i="40"/>
  <c r="AA67" i="40"/>
  <c r="AJ69" i="40" s="1"/>
  <c r="G67" i="40"/>
  <c r="AE70" i="40"/>
  <c r="AB71" i="40"/>
  <c r="Q66" i="40"/>
  <c r="Z66" i="40"/>
  <c r="AK68" i="40" s="1"/>
  <c r="AV66" i="40" s="1"/>
  <c r="AW66" i="40" s="1"/>
  <c r="L69" i="40"/>
  <c r="I70" i="40"/>
  <c r="AL72" i="40"/>
  <c r="AO71" i="40"/>
  <c r="BG66" i="40" l="1"/>
  <c r="G68" i="40"/>
  <c r="AA68" i="40"/>
  <c r="AJ70" i="40" s="1"/>
  <c r="H69" i="40"/>
  <c r="AU68" i="40"/>
  <c r="AO72" i="40"/>
  <c r="AL73" i="40"/>
  <c r="AB72" i="40"/>
  <c r="AE71" i="40"/>
  <c r="Z67" i="40"/>
  <c r="AK69" i="40" s="1"/>
  <c r="AV67" i="40" s="1"/>
  <c r="AW67" i="40" s="1"/>
  <c r="Q67" i="40"/>
  <c r="AT74" i="40"/>
  <c r="AI69" i="40" s="1"/>
  <c r="AS75" i="40"/>
  <c r="AX70" i="40"/>
  <c r="BA69" i="40"/>
  <c r="I71" i="40"/>
  <c r="L70" i="40"/>
  <c r="P67" i="40"/>
  <c r="U70" i="40"/>
  <c r="R71" i="40"/>
  <c r="BG67" i="40" l="1"/>
  <c r="AZ67" i="40"/>
  <c r="AY67" i="40" s="1"/>
  <c r="AE72" i="40"/>
  <c r="AB73" i="40"/>
  <c r="G69" i="40"/>
  <c r="AA69" i="40"/>
  <c r="AJ71" i="40" s="1"/>
  <c r="H70" i="40"/>
  <c r="AU69" i="40"/>
  <c r="I72" i="40"/>
  <c r="L71" i="40"/>
  <c r="AX71" i="40"/>
  <c r="BA70" i="40"/>
  <c r="P68" i="40"/>
  <c r="AL74" i="40"/>
  <c r="AO73" i="40"/>
  <c r="R72" i="40"/>
  <c r="U71" i="40"/>
  <c r="AS76" i="40"/>
  <c r="AT75" i="40"/>
  <c r="AI70" i="40" s="1"/>
  <c r="Q68" i="40"/>
  <c r="Z68" i="40"/>
  <c r="AK70" i="40" s="1"/>
  <c r="AV68" i="40" s="1"/>
  <c r="AW68" i="40" s="1"/>
  <c r="BG68" i="40" l="1"/>
  <c r="AZ68" i="40" s="1"/>
  <c r="AY68" i="40" s="1"/>
  <c r="AS77" i="40"/>
  <c r="AT76" i="40"/>
  <c r="AI71" i="40" s="1"/>
  <c r="AO74" i="40"/>
  <c r="AL75" i="40"/>
  <c r="AA70" i="40"/>
  <c r="AJ72" i="40" s="1"/>
  <c r="H71" i="40"/>
  <c r="AU70" i="40"/>
  <c r="G70" i="40"/>
  <c r="U72" i="40"/>
  <c r="R73" i="40"/>
  <c r="P69" i="40"/>
  <c r="AB74" i="40"/>
  <c r="AE73" i="40"/>
  <c r="BB67" i="40"/>
  <c r="I73" i="40"/>
  <c r="L72" i="40"/>
  <c r="Q69" i="40"/>
  <c r="Z69" i="40"/>
  <c r="AK71" i="40" s="1"/>
  <c r="AV69" i="40" s="1"/>
  <c r="AW69" i="40" s="1"/>
  <c r="BA71" i="40"/>
  <c r="AX72" i="40"/>
  <c r="AT77" i="40" l="1"/>
  <c r="AI72" i="40" s="1"/>
  <c r="AS78" i="40"/>
  <c r="AE74" i="40"/>
  <c r="AB75" i="40"/>
  <c r="Z70" i="40"/>
  <c r="AK72" i="40" s="1"/>
  <c r="AV70" i="40" s="1"/>
  <c r="AW70" i="40" s="1"/>
  <c r="Q70" i="40"/>
  <c r="BG69" i="40"/>
  <c r="P70" i="40"/>
  <c r="AO75" i="40"/>
  <c r="AL76" i="40"/>
  <c r="BA72" i="40"/>
  <c r="AX73" i="40"/>
  <c r="L73" i="40"/>
  <c r="I74" i="40"/>
  <c r="H72" i="40"/>
  <c r="AU71" i="40"/>
  <c r="AA71" i="40"/>
  <c r="AJ73" i="40" s="1"/>
  <c r="G71" i="40"/>
  <c r="R74" i="40"/>
  <c r="U73" i="40"/>
  <c r="BB68" i="40"/>
  <c r="U74" i="40" l="1"/>
  <c r="R75" i="40"/>
  <c r="H73" i="40"/>
  <c r="AU72" i="40"/>
  <c r="G72" i="40"/>
  <c r="AA72" i="40"/>
  <c r="AJ74" i="40" s="1"/>
  <c r="L74" i="40"/>
  <c r="I75" i="40"/>
  <c r="AL77" i="40"/>
  <c r="AO76" i="40"/>
  <c r="AB76" i="40"/>
  <c r="AE75" i="40"/>
  <c r="P71" i="40"/>
  <c r="AX74" i="40"/>
  <c r="BA73" i="40"/>
  <c r="AT78" i="40"/>
  <c r="AI73" i="40" s="1"/>
  <c r="AS79" i="40"/>
  <c r="Q71" i="40"/>
  <c r="Z71" i="40"/>
  <c r="AK73" i="40" s="1"/>
  <c r="AV71" i="40" s="1"/>
  <c r="AW71" i="40" s="1"/>
  <c r="BG70" i="40"/>
  <c r="BG71" i="40" l="1"/>
  <c r="BA74" i="40"/>
  <c r="AX75" i="40"/>
  <c r="AB77" i="40"/>
  <c r="AE76" i="40"/>
  <c r="I76" i="40"/>
  <c r="L75" i="40"/>
  <c r="AS80" i="40"/>
  <c r="AT79" i="40"/>
  <c r="AI74" i="40" s="1"/>
  <c r="R76" i="40"/>
  <c r="U75" i="40"/>
  <c r="G73" i="40"/>
  <c r="AA73" i="40"/>
  <c r="AJ75" i="40" s="1"/>
  <c r="AU73" i="40"/>
  <c r="H74" i="40"/>
  <c r="Z72" i="40"/>
  <c r="AK74" i="40" s="1"/>
  <c r="AV72" i="40" s="1"/>
  <c r="AW72" i="40" s="1"/>
  <c r="Q72" i="40"/>
  <c r="AL78" i="40"/>
  <c r="AO77" i="40"/>
  <c r="P72" i="40"/>
  <c r="BG72" i="40" l="1"/>
  <c r="Q73" i="40"/>
  <c r="Z73" i="40"/>
  <c r="AK75" i="40" s="1"/>
  <c r="AV73" i="40" s="1"/>
  <c r="AW73" i="40" s="1"/>
  <c r="G74" i="40"/>
  <c r="AA74" i="40"/>
  <c r="AJ76" i="40" s="1"/>
  <c r="H75" i="40"/>
  <c r="AU74" i="40"/>
  <c r="AE77" i="40"/>
  <c r="AB78" i="40"/>
  <c r="AO78" i="40"/>
  <c r="AL79" i="40"/>
  <c r="L76" i="40"/>
  <c r="I77" i="40"/>
  <c r="P73" i="40"/>
  <c r="R77" i="40"/>
  <c r="U76" i="40"/>
  <c r="AS81" i="40"/>
  <c r="AT80" i="40"/>
  <c r="AI75" i="40" s="1"/>
  <c r="AX76" i="40"/>
  <c r="BA75" i="40"/>
  <c r="BG73" i="40" l="1"/>
  <c r="U77" i="40"/>
  <c r="R78" i="40"/>
  <c r="AL80" i="40"/>
  <c r="AO79" i="40"/>
  <c r="H76" i="40"/>
  <c r="AU75" i="40"/>
  <c r="AA75" i="40"/>
  <c r="AJ77" i="40" s="1"/>
  <c r="G75" i="40"/>
  <c r="AX77" i="40"/>
  <c r="BA76" i="40"/>
  <c r="AS82" i="40"/>
  <c r="AT81" i="40"/>
  <c r="AI76" i="40" s="1"/>
  <c r="AB79" i="40"/>
  <c r="AE78" i="40"/>
  <c r="P74" i="40"/>
  <c r="I78" i="40"/>
  <c r="L77" i="40"/>
  <c r="Z74" i="40"/>
  <c r="AK76" i="40" s="1"/>
  <c r="AV74" i="40" s="1"/>
  <c r="AW74" i="40" s="1"/>
  <c r="Q74" i="40"/>
  <c r="AS83" i="40" l="1"/>
  <c r="AS84" i="40" s="1"/>
  <c r="AT82" i="40"/>
  <c r="BA77" i="40"/>
  <c r="AX78" i="40"/>
  <c r="BG74" i="40"/>
  <c r="H77" i="40"/>
  <c r="AA76" i="40"/>
  <c r="AJ78" i="40" s="1"/>
  <c r="G76" i="40"/>
  <c r="AU76" i="40"/>
  <c r="AB80" i="40"/>
  <c r="AE79" i="40"/>
  <c r="L78" i="40"/>
  <c r="I79" i="40"/>
  <c r="Z75" i="40"/>
  <c r="AK77" i="40" s="1"/>
  <c r="AV75" i="40" s="1"/>
  <c r="AW75" i="40" s="1"/>
  <c r="Q75" i="40"/>
  <c r="R79" i="40"/>
  <c r="U78" i="40"/>
  <c r="P75" i="40"/>
  <c r="AI77" i="40"/>
  <c r="AO80" i="40"/>
  <c r="AL81" i="40"/>
  <c r="AT84" i="40" l="1"/>
  <c r="AS85" i="40"/>
  <c r="BG75" i="40"/>
  <c r="I80" i="40"/>
  <c r="L79" i="40"/>
  <c r="AO81" i="40"/>
  <c r="AL82" i="40"/>
  <c r="AE80" i="40"/>
  <c r="Q76" i="40"/>
  <c r="Z76" i="40"/>
  <c r="AK78" i="40" s="1"/>
  <c r="AV76" i="40" s="1"/>
  <c r="AW76" i="40" s="1"/>
  <c r="P76" i="40"/>
  <c r="U79" i="40"/>
  <c r="R80" i="40"/>
  <c r="AA77" i="40"/>
  <c r="AJ79" i="40" s="1"/>
  <c r="H78" i="40"/>
  <c r="G77" i="40"/>
  <c r="AU77" i="40"/>
  <c r="AX79" i="40"/>
  <c r="BA78" i="40"/>
  <c r="AT83" i="40"/>
  <c r="AI78" i="40" s="1"/>
  <c r="AS86" i="40" l="1"/>
  <c r="AT86" i="40" s="1"/>
  <c r="AT85" i="40"/>
  <c r="AI79" i="40"/>
  <c r="BA79" i="40"/>
  <c r="AX80" i="40"/>
  <c r="P77" i="40"/>
  <c r="Z77" i="40"/>
  <c r="AK79" i="40" s="1"/>
  <c r="AV77" i="40" s="1"/>
  <c r="AW77" i="40" s="1"/>
  <c r="Q77" i="40"/>
  <c r="BG76" i="40"/>
  <c r="L80" i="40"/>
  <c r="H79" i="40"/>
  <c r="AU78" i="40"/>
  <c r="AA78" i="40"/>
  <c r="AJ80" i="40" s="1"/>
  <c r="G78" i="40"/>
  <c r="U80" i="40"/>
  <c r="AO82" i="40"/>
  <c r="Z78" i="40" l="1"/>
  <c r="AK80" i="40" s="1"/>
  <c r="AV78" i="40" s="1"/>
  <c r="AW78" i="40" s="1"/>
  <c r="Q78" i="40"/>
  <c r="BA80" i="40"/>
  <c r="AI80" i="40"/>
  <c r="H80" i="40"/>
  <c r="AU79" i="40"/>
  <c r="G79" i="40"/>
  <c r="AA79" i="40"/>
  <c r="AJ81" i="40" s="1"/>
  <c r="BG77" i="40"/>
  <c r="P78" i="40"/>
  <c r="Z79" i="40" l="1"/>
  <c r="AK81" i="40" s="1"/>
  <c r="AV79" i="40" s="1"/>
  <c r="AW79" i="40" s="1"/>
  <c r="Q79" i="40"/>
  <c r="BG78" i="40"/>
  <c r="AU80" i="40"/>
  <c r="AA80" i="40"/>
  <c r="AJ82" i="40" s="1"/>
  <c r="G80" i="40"/>
  <c r="AI81" i="40"/>
  <c r="P79" i="40"/>
  <c r="AI82" i="40" l="1"/>
  <c r="P80" i="40"/>
  <c r="Q80" i="40"/>
  <c r="Z80" i="40"/>
  <c r="AK82" i="40" s="1"/>
  <c r="AV80" i="40" s="1"/>
  <c r="AW80" i="40" s="1"/>
  <c r="BG79" i="40"/>
  <c r="BG80" i="40" l="1"/>
  <c r="AZ8" i="40" s="1"/>
  <c r="A258" i="28" l="1"/>
  <c r="B220" i="28" l="1"/>
  <c r="B213" i="28"/>
  <c r="Q1920" i="21"/>
  <c r="Q1909" i="21"/>
  <c r="Q1897" i="21"/>
  <c r="Q1886" i="21"/>
  <c r="Q1875" i="21"/>
  <c r="Q1863" i="21"/>
  <c r="Q1852" i="21"/>
  <c r="Q1841" i="21"/>
  <c r="Q1829" i="21"/>
  <c r="Q1818" i="21"/>
  <c r="Q1807" i="21"/>
  <c r="Q1792" i="21"/>
  <c r="Q1795" i="21" s="1"/>
  <c r="Q1772" i="21"/>
  <c r="Q1794" i="21" s="1"/>
  <c r="Q1759" i="21"/>
  <c r="Q1793" i="21" s="1"/>
  <c r="Q1726" i="21"/>
  <c r="Q1729" i="21" s="1"/>
  <c r="Q1706" i="21"/>
  <c r="Q1728" i="21" s="1"/>
  <c r="Q1662" i="21"/>
  <c r="Q1651" i="21"/>
  <c r="Q1639" i="21"/>
  <c r="Q1628" i="21"/>
  <c r="Q1617" i="21"/>
  <c r="Q1605" i="21"/>
  <c r="Q1594" i="21"/>
  <c r="Q1583" i="21"/>
  <c r="Q1571" i="21"/>
  <c r="Q1560" i="21"/>
  <c r="Q1549" i="21"/>
  <c r="Q1536" i="21"/>
  <c r="Q1525" i="21"/>
  <c r="Q1513" i="21"/>
  <c r="Q1502" i="21"/>
  <c r="Q1491" i="21"/>
  <c r="Q1479" i="21"/>
  <c r="Q1468" i="21"/>
  <c r="Q1457" i="21"/>
  <c r="Q1445" i="21"/>
  <c r="Q1434" i="21"/>
  <c r="Q1423" i="21"/>
  <c r="Q1408" i="21"/>
  <c r="Q1411" i="21" s="1"/>
  <c r="Q1388" i="21"/>
  <c r="Q1410" i="21" s="1"/>
  <c r="Q1375" i="21"/>
  <c r="Q1409" i="21" s="1"/>
  <c r="Q1342" i="21"/>
  <c r="Q1345" i="21" s="1"/>
  <c r="Q1322" i="21"/>
  <c r="Q1344" i="21" s="1"/>
  <c r="Q1278" i="21"/>
  <c r="Q1267" i="21"/>
  <c r="Q1255" i="21"/>
  <c r="Q1244" i="21"/>
  <c r="Q1233" i="21"/>
  <c r="Q1221" i="21"/>
  <c r="Q1210" i="21"/>
  <c r="Q1199" i="21"/>
  <c r="Q1187" i="21"/>
  <c r="Q1176" i="21"/>
  <c r="Q1165" i="21"/>
  <c r="Q1152" i="21"/>
  <c r="Q1141" i="21"/>
  <c r="Q1129" i="21"/>
  <c r="Q1118" i="21"/>
  <c r="Q1107" i="21"/>
  <c r="Q1095" i="21"/>
  <c r="Q1084" i="21"/>
  <c r="Q1073" i="21"/>
  <c r="Q1061" i="21"/>
  <c r="Q1050" i="21"/>
  <c r="Q1039" i="21"/>
  <c r="Q1024" i="21"/>
  <c r="Q1027" i="21" s="1"/>
  <c r="Q1004" i="21"/>
  <c r="Q1026" i="21" s="1"/>
  <c r="Q991" i="21"/>
  <c r="Q1025" i="21" s="1"/>
  <c r="Q958" i="21"/>
  <c r="Q961" i="21" s="1"/>
  <c r="Q938" i="21"/>
  <c r="Q960" i="21" s="1"/>
  <c r="Q894" i="21"/>
  <c r="Q883" i="21"/>
  <c r="Q871" i="21"/>
  <c r="Q860" i="21"/>
  <c r="Q849" i="21"/>
  <c r="Q837" i="21"/>
  <c r="Q826" i="21"/>
  <c r="Q815" i="21"/>
  <c r="Q803" i="21"/>
  <c r="Q792" i="21"/>
  <c r="Q781" i="21"/>
  <c r="Q768" i="21"/>
  <c r="Q757" i="21"/>
  <c r="Q745" i="21"/>
  <c r="Q734" i="21"/>
  <c r="Q723" i="21"/>
  <c r="Q711" i="21"/>
  <c r="Q700" i="21"/>
  <c r="Q689" i="21"/>
  <c r="Q677" i="21"/>
  <c r="Q666" i="21"/>
  <c r="Q655" i="21"/>
  <c r="Q640" i="21"/>
  <c r="Q643" i="21" s="1"/>
  <c r="Q620" i="21"/>
  <c r="Q642" i="21" s="1"/>
  <c r="Q607" i="21"/>
  <c r="Q641" i="21" s="1"/>
  <c r="Q574" i="21"/>
  <c r="Q577" i="21" s="1"/>
  <c r="Q554" i="21"/>
  <c r="Q576" i="21" s="1"/>
  <c r="Q541" i="21"/>
  <c r="Q575" i="21" s="1"/>
  <c r="Q510" i="21"/>
  <c r="Q499" i="21"/>
  <c r="Q487" i="21"/>
  <c r="Q476" i="21"/>
  <c r="Q465" i="21"/>
  <c r="Q453" i="21"/>
  <c r="Q442" i="21"/>
  <c r="Q431" i="21"/>
  <c r="Q408" i="21"/>
  <c r="Q397" i="21"/>
  <c r="Q384" i="21"/>
  <c r="Q373" i="21"/>
  <c r="Q361" i="21"/>
  <c r="Q350" i="21"/>
  <c r="Q339" i="21"/>
  <c r="Q327" i="21"/>
  <c r="Q316" i="21"/>
  <c r="Q305" i="21"/>
  <c r="Q293" i="21"/>
  <c r="Q282" i="21"/>
  <c r="Q271" i="21"/>
  <c r="Q256" i="21"/>
  <c r="Q259" i="21" s="1"/>
  <c r="Q236" i="21"/>
  <c r="Q258" i="21" s="1"/>
  <c r="Q223" i="21"/>
  <c r="Q257" i="21" s="1"/>
  <c r="Q190" i="21"/>
  <c r="Q193" i="21" s="1"/>
  <c r="Q170" i="21"/>
  <c r="Q192" i="21" s="1"/>
  <c r="Q126" i="21"/>
  <c r="Q115" i="21"/>
  <c r="Q103" i="21"/>
  <c r="Q92" i="21"/>
  <c r="Q81" i="21"/>
  <c r="Q69" i="21"/>
  <c r="Q58" i="21"/>
  <c r="Q47" i="21"/>
  <c r="Q35" i="21"/>
  <c r="Q24" i="21"/>
  <c r="Q13" i="21"/>
  <c r="P1920" i="21"/>
  <c r="P1909" i="21"/>
  <c r="P1897" i="21"/>
  <c r="P1886" i="21"/>
  <c r="P1875" i="21"/>
  <c r="P1863" i="21"/>
  <c r="P1852" i="21"/>
  <c r="P1841" i="21"/>
  <c r="P1829" i="21"/>
  <c r="P1818" i="21"/>
  <c r="P1807" i="21"/>
  <c r="P1792" i="21"/>
  <c r="P1795" i="21" s="1"/>
  <c r="P1772" i="21"/>
  <c r="P1794" i="21" s="1"/>
  <c r="P1759" i="21"/>
  <c r="P1793" i="21" s="1"/>
  <c r="P1726" i="21"/>
  <c r="P1729" i="21" s="1"/>
  <c r="P1706" i="21"/>
  <c r="P1728" i="21" s="1"/>
  <c r="P1662" i="21"/>
  <c r="P1651" i="21"/>
  <c r="P1639" i="21"/>
  <c r="P1628" i="21"/>
  <c r="P1617" i="21"/>
  <c r="P1605" i="21"/>
  <c r="P1594" i="21"/>
  <c r="P1583" i="21"/>
  <c r="P1571" i="21"/>
  <c r="P1560" i="21"/>
  <c r="P1549" i="21"/>
  <c r="P1536" i="21"/>
  <c r="P1525" i="21"/>
  <c r="P1513" i="21"/>
  <c r="P1502" i="21"/>
  <c r="P1491" i="21"/>
  <c r="P1479" i="21"/>
  <c r="P1468" i="21"/>
  <c r="P1457" i="21"/>
  <c r="P1445" i="21"/>
  <c r="P1434" i="21"/>
  <c r="P1423" i="21"/>
  <c r="P1408" i="21"/>
  <c r="P1411" i="21" s="1"/>
  <c r="P1388" i="21"/>
  <c r="P1410" i="21" s="1"/>
  <c r="P1375" i="21"/>
  <c r="P1409" i="21" s="1"/>
  <c r="P1342" i="21"/>
  <c r="P1345" i="21" s="1"/>
  <c r="P1322" i="21"/>
  <c r="P1344" i="21" s="1"/>
  <c r="P1278" i="21"/>
  <c r="P1267" i="21"/>
  <c r="P1255" i="21"/>
  <c r="P1244" i="21"/>
  <c r="P1233" i="21"/>
  <c r="P1221" i="21"/>
  <c r="P1210" i="21"/>
  <c r="P1199" i="21"/>
  <c r="P1187" i="21"/>
  <c r="P1176" i="21"/>
  <c r="P1165" i="21"/>
  <c r="P1152" i="21"/>
  <c r="P1141" i="21"/>
  <c r="P1129" i="21"/>
  <c r="P1118" i="21"/>
  <c r="P1107" i="21"/>
  <c r="P1095" i="21"/>
  <c r="P1084" i="21"/>
  <c r="P1073" i="21"/>
  <c r="P1061" i="21"/>
  <c r="P1050" i="21"/>
  <c r="P1039" i="21"/>
  <c r="P1024" i="21"/>
  <c r="P1027" i="21" s="1"/>
  <c r="P1004" i="21"/>
  <c r="P1026" i="21" s="1"/>
  <c r="P991" i="21"/>
  <c r="P1025" i="21" s="1"/>
  <c r="P958" i="21"/>
  <c r="P961" i="21" s="1"/>
  <c r="P938" i="21"/>
  <c r="P960" i="21" s="1"/>
  <c r="P894" i="21"/>
  <c r="P883" i="21"/>
  <c r="P871" i="21"/>
  <c r="P860" i="21"/>
  <c r="P849" i="21"/>
  <c r="P837" i="21"/>
  <c r="P826" i="21"/>
  <c r="P815" i="21"/>
  <c r="P803" i="21"/>
  <c r="P792" i="21"/>
  <c r="P781" i="21"/>
  <c r="P768" i="21"/>
  <c r="P757" i="21"/>
  <c r="P745" i="21"/>
  <c r="P734" i="21"/>
  <c r="P723" i="21"/>
  <c r="P711" i="21"/>
  <c r="P700" i="21"/>
  <c r="P689" i="21"/>
  <c r="P677" i="21"/>
  <c r="P666" i="21"/>
  <c r="P655" i="21"/>
  <c r="P640" i="21"/>
  <c r="P643" i="21" s="1"/>
  <c r="P620" i="21"/>
  <c r="P642" i="21" s="1"/>
  <c r="P607" i="21"/>
  <c r="P641" i="21" s="1"/>
  <c r="P574" i="21"/>
  <c r="P577" i="21" s="1"/>
  <c r="P554" i="21"/>
  <c r="P576" i="21" s="1"/>
  <c r="P541" i="21"/>
  <c r="P575" i="21" s="1"/>
  <c r="P510" i="21"/>
  <c r="P499" i="21"/>
  <c r="P487" i="21"/>
  <c r="P476" i="21"/>
  <c r="P465" i="21"/>
  <c r="P453" i="21"/>
  <c r="P442" i="21"/>
  <c r="P431" i="21"/>
  <c r="P408" i="21"/>
  <c r="P397" i="21"/>
  <c r="P384" i="21"/>
  <c r="P373" i="21"/>
  <c r="P361" i="21"/>
  <c r="P350" i="21"/>
  <c r="P339" i="21"/>
  <c r="P327" i="21"/>
  <c r="P316" i="21"/>
  <c r="P305" i="21"/>
  <c r="P293" i="21"/>
  <c r="P282" i="21"/>
  <c r="P271" i="21"/>
  <c r="P256" i="21"/>
  <c r="P259" i="21" s="1"/>
  <c r="P236" i="21"/>
  <c r="P258" i="21" s="1"/>
  <c r="P223" i="21"/>
  <c r="P257" i="21" s="1"/>
  <c r="P190" i="21"/>
  <c r="P193" i="21" s="1"/>
  <c r="P170" i="21"/>
  <c r="P192" i="21" s="1"/>
  <c r="P126" i="21"/>
  <c r="P115" i="21"/>
  <c r="P103" i="21"/>
  <c r="P92" i="21"/>
  <c r="P81" i="21"/>
  <c r="P69" i="21"/>
  <c r="P58" i="21"/>
  <c r="P47" i="21"/>
  <c r="P35" i="21"/>
  <c r="P24" i="21"/>
  <c r="P13" i="21"/>
  <c r="D142" i="28"/>
  <c r="L1920" i="21"/>
  <c r="L1909" i="21"/>
  <c r="L1897" i="21"/>
  <c r="L1886" i="21"/>
  <c r="L1875" i="21"/>
  <c r="L1863" i="21"/>
  <c r="L1852" i="21"/>
  <c r="L1841" i="21"/>
  <c r="L1829" i="21"/>
  <c r="L1818" i="21"/>
  <c r="L1807" i="21"/>
  <c r="L1792" i="21"/>
  <c r="L1795" i="21" s="1"/>
  <c r="L1772" i="21"/>
  <c r="L1794" i="21" s="1"/>
  <c r="L1759" i="21"/>
  <c r="L1793" i="21" s="1"/>
  <c r="L1726" i="21"/>
  <c r="L1729" i="21" s="1"/>
  <c r="L1706" i="21"/>
  <c r="L1728" i="21" s="1"/>
  <c r="L1693" i="21"/>
  <c r="L1727" i="21" s="1"/>
  <c r="L1662" i="21"/>
  <c r="L1651" i="21"/>
  <c r="L1639" i="21"/>
  <c r="L1628" i="21"/>
  <c r="L1617" i="21"/>
  <c r="L1604" i="21"/>
  <c r="L1603" i="21"/>
  <c r="L1602" i="21"/>
  <c r="L1601" i="21"/>
  <c r="L1600" i="21"/>
  <c r="L1599" i="21"/>
  <c r="L1598" i="21"/>
  <c r="L1597" i="21"/>
  <c r="L1596" i="21"/>
  <c r="L1595" i="21"/>
  <c r="L1593" i="21"/>
  <c r="L1592" i="21"/>
  <c r="L1591" i="21"/>
  <c r="L1590" i="21"/>
  <c r="L1589" i="21"/>
  <c r="L1588" i="21"/>
  <c r="L1587" i="21"/>
  <c r="L1586" i="21"/>
  <c r="L1585" i="21"/>
  <c r="L1584" i="21"/>
  <c r="L1582" i="21"/>
  <c r="L1581" i="21"/>
  <c r="L1580" i="21"/>
  <c r="L1579" i="21"/>
  <c r="L1578" i="21"/>
  <c r="L1577" i="21"/>
  <c r="L1576" i="21"/>
  <c r="L1575" i="21"/>
  <c r="L1574" i="21"/>
  <c r="L1573" i="21"/>
  <c r="L1570" i="21"/>
  <c r="L1569" i="21"/>
  <c r="L1568" i="21"/>
  <c r="L1567" i="21"/>
  <c r="L1566" i="21"/>
  <c r="L1565" i="21"/>
  <c r="L1564" i="21"/>
  <c r="L1563" i="21"/>
  <c r="L1562" i="21"/>
  <c r="L1561" i="21"/>
  <c r="L1559" i="21"/>
  <c r="L1558" i="21"/>
  <c r="L1557" i="21"/>
  <c r="L1556" i="21"/>
  <c r="L1555" i="21"/>
  <c r="L1554" i="21"/>
  <c r="L1553" i="21"/>
  <c r="L1552" i="21"/>
  <c r="L1551" i="21"/>
  <c r="L1550" i="21"/>
  <c r="L1548" i="21"/>
  <c r="L1547" i="21"/>
  <c r="L1546" i="21"/>
  <c r="L1545" i="21"/>
  <c r="L1544" i="21"/>
  <c r="L1543" i="21"/>
  <c r="L1542" i="21"/>
  <c r="L1541" i="21"/>
  <c r="L1540" i="21"/>
  <c r="L1539" i="21"/>
  <c r="L1536" i="21"/>
  <c r="L1525" i="21"/>
  <c r="L1513" i="21"/>
  <c r="L1502" i="21"/>
  <c r="L1491" i="21"/>
  <c r="L1479" i="21"/>
  <c r="L1468" i="21"/>
  <c r="L1457" i="21"/>
  <c r="L1445" i="21"/>
  <c r="L1434" i="21"/>
  <c r="L1423" i="21"/>
  <c r="L1408" i="21"/>
  <c r="L1411" i="21" s="1"/>
  <c r="L1388" i="21"/>
  <c r="L1410" i="21" s="1"/>
  <c r="L1375" i="21"/>
  <c r="L1409" i="21" s="1"/>
  <c r="L1342" i="21"/>
  <c r="L1345" i="21" s="1"/>
  <c r="L1322" i="21"/>
  <c r="L1344" i="21" s="1"/>
  <c r="L1309" i="21"/>
  <c r="L1343" i="21" s="1"/>
  <c r="L1278" i="21"/>
  <c r="L1267" i="21"/>
  <c r="L1255" i="21"/>
  <c r="L1244" i="21"/>
  <c r="L1233" i="21"/>
  <c r="L1220" i="21"/>
  <c r="L1219" i="21"/>
  <c r="L1218" i="21"/>
  <c r="L1217" i="21"/>
  <c r="L1216" i="21"/>
  <c r="L1215" i="21"/>
  <c r="L1214" i="21"/>
  <c r="L1213" i="21"/>
  <c r="L1212" i="21"/>
  <c r="L1211" i="21"/>
  <c r="L1209" i="21"/>
  <c r="L1208" i="21"/>
  <c r="L1207" i="21"/>
  <c r="L1206" i="21"/>
  <c r="L1205" i="21"/>
  <c r="L1204" i="21"/>
  <c r="L1203" i="21"/>
  <c r="L1202" i="21"/>
  <c r="L1201" i="21"/>
  <c r="L1200" i="21"/>
  <c r="L1198" i="21"/>
  <c r="L1197" i="21"/>
  <c r="L1196" i="21"/>
  <c r="L1195" i="21"/>
  <c r="L1194" i="21"/>
  <c r="L1193" i="21"/>
  <c r="L1192" i="21"/>
  <c r="L1191" i="21"/>
  <c r="L1190" i="21"/>
  <c r="L1189" i="21"/>
  <c r="L1186" i="21"/>
  <c r="L1185" i="21"/>
  <c r="L1184" i="21"/>
  <c r="L1183" i="21"/>
  <c r="L1182" i="21"/>
  <c r="L1181" i="21"/>
  <c r="L1180" i="21"/>
  <c r="L1179" i="21"/>
  <c r="L1178" i="21"/>
  <c r="L1175" i="21"/>
  <c r="L1174" i="21"/>
  <c r="L1173" i="21"/>
  <c r="L1172" i="21"/>
  <c r="L1171" i="21"/>
  <c r="L1170" i="21"/>
  <c r="L1169" i="21"/>
  <c r="L1168" i="21"/>
  <c r="L1167" i="21"/>
  <c r="L1166" i="21"/>
  <c r="L1164" i="21"/>
  <c r="L1163" i="21"/>
  <c r="L1162" i="21"/>
  <c r="L1161" i="21"/>
  <c r="L1160" i="21"/>
  <c r="L1159" i="21"/>
  <c r="L1158" i="21"/>
  <c r="L1157" i="21"/>
  <c r="L1156" i="21"/>
  <c r="L1155" i="21"/>
  <c r="L1152" i="21"/>
  <c r="L1141" i="21"/>
  <c r="L1129" i="21"/>
  <c r="L1118" i="21"/>
  <c r="L1107" i="21"/>
  <c r="L1095" i="21"/>
  <c r="L1084" i="21"/>
  <c r="L1073" i="21"/>
  <c r="L1061" i="21"/>
  <c r="L1050" i="21"/>
  <c r="L1039" i="21"/>
  <c r="L1024" i="21"/>
  <c r="L1027" i="21" s="1"/>
  <c r="L1004" i="21"/>
  <c r="L1026" i="21" s="1"/>
  <c r="L991" i="21"/>
  <c r="L1025" i="21" s="1"/>
  <c r="L958" i="21"/>
  <c r="L961" i="21" s="1"/>
  <c r="L938" i="21"/>
  <c r="L960" i="21" s="1"/>
  <c r="L925" i="21"/>
  <c r="L959" i="21" s="1"/>
  <c r="L894" i="21"/>
  <c r="L883" i="21"/>
  <c r="L871" i="21"/>
  <c r="L860" i="21"/>
  <c r="L849" i="21"/>
  <c r="L836" i="21"/>
  <c r="L835" i="21"/>
  <c r="L834" i="21"/>
  <c r="L833" i="21"/>
  <c r="L832" i="21"/>
  <c r="L831" i="21"/>
  <c r="L830" i="21"/>
  <c r="L829" i="21"/>
  <c r="L828" i="21"/>
  <c r="L827" i="21"/>
  <c r="L825" i="21"/>
  <c r="L824" i="21"/>
  <c r="L823" i="21"/>
  <c r="L822" i="21"/>
  <c r="L821" i="21"/>
  <c r="L820" i="21"/>
  <c r="L819" i="21"/>
  <c r="L818" i="21"/>
  <c r="L817" i="21"/>
  <c r="L816" i="21"/>
  <c r="L814" i="21"/>
  <c r="L813" i="21"/>
  <c r="L812" i="21"/>
  <c r="L811" i="21"/>
  <c r="L810" i="21"/>
  <c r="L809" i="21"/>
  <c r="L808" i="21"/>
  <c r="L807" i="21"/>
  <c r="L806" i="21"/>
  <c r="L805" i="21"/>
  <c r="L802" i="21"/>
  <c r="L801" i="21"/>
  <c r="L800" i="21"/>
  <c r="L799" i="21"/>
  <c r="L798" i="21"/>
  <c r="L797" i="21"/>
  <c r="L796" i="21"/>
  <c r="L795" i="21"/>
  <c r="L794" i="21"/>
  <c r="L793" i="21"/>
  <c r="L791" i="21"/>
  <c r="L790" i="21"/>
  <c r="L789" i="21"/>
  <c r="L788" i="21"/>
  <c r="L787" i="21"/>
  <c r="L786" i="21"/>
  <c r="L785" i="21"/>
  <c r="L784" i="21"/>
  <c r="L783" i="21"/>
  <c r="L782" i="21"/>
  <c r="L780" i="21"/>
  <c r="L779" i="21"/>
  <c r="L778" i="21"/>
  <c r="L777" i="21"/>
  <c r="L776" i="21"/>
  <c r="L775" i="21"/>
  <c r="L774" i="21"/>
  <c r="L773" i="21"/>
  <c r="L772" i="21"/>
  <c r="L771" i="21"/>
  <c r="L768" i="21"/>
  <c r="L757" i="21"/>
  <c r="L745" i="21"/>
  <c r="L734" i="21"/>
  <c r="L723" i="21"/>
  <c r="L711" i="21"/>
  <c r="L690" i="21"/>
  <c r="L700" i="21" s="1"/>
  <c r="L681" i="21"/>
  <c r="L680" i="21"/>
  <c r="L679" i="21"/>
  <c r="L676" i="21"/>
  <c r="L675" i="21"/>
  <c r="L674" i="21"/>
  <c r="L673" i="21"/>
  <c r="L672" i="21"/>
  <c r="L671" i="21"/>
  <c r="L670" i="21"/>
  <c r="L669" i="21"/>
  <c r="L668" i="21"/>
  <c r="L667" i="21"/>
  <c r="L665" i="21"/>
  <c r="L664" i="21"/>
  <c r="L663" i="21"/>
  <c r="L662" i="21"/>
  <c r="L661" i="21"/>
  <c r="L660" i="21"/>
  <c r="L659" i="21"/>
  <c r="L658" i="21"/>
  <c r="L657" i="21"/>
  <c r="L656" i="21"/>
  <c r="L654" i="21"/>
  <c r="L653" i="21"/>
  <c r="L652" i="21"/>
  <c r="L651" i="21"/>
  <c r="L650" i="21"/>
  <c r="L649" i="21"/>
  <c r="L648" i="21"/>
  <c r="L647" i="21"/>
  <c r="L646" i="21"/>
  <c r="L645" i="21"/>
  <c r="L640" i="21"/>
  <c r="L643" i="21" s="1"/>
  <c r="L620" i="21"/>
  <c r="L642" i="21" s="1"/>
  <c r="L607" i="21"/>
  <c r="L641" i="21" s="1"/>
  <c r="L574" i="21"/>
  <c r="L577" i="21" s="1"/>
  <c r="L554" i="21"/>
  <c r="L576" i="21" s="1"/>
  <c r="L541" i="21"/>
  <c r="L575" i="21" s="1"/>
  <c r="L500" i="21"/>
  <c r="L510" i="21" s="1"/>
  <c r="L499" i="21"/>
  <c r="L487" i="21"/>
  <c r="L476" i="21"/>
  <c r="L465" i="21"/>
  <c r="L453" i="21"/>
  <c r="L442" i="21"/>
  <c r="L431" i="21"/>
  <c r="L418" i="21"/>
  <c r="L417" i="21"/>
  <c r="L416" i="21"/>
  <c r="L415" i="21"/>
  <c r="L414" i="21"/>
  <c r="L413" i="21"/>
  <c r="L412" i="21"/>
  <c r="L411" i="21"/>
  <c r="L410" i="21"/>
  <c r="L409" i="21"/>
  <c r="L407" i="21"/>
  <c r="L406" i="21"/>
  <c r="L405" i="21"/>
  <c r="L404" i="21"/>
  <c r="L403" i="21"/>
  <c r="L402" i="21"/>
  <c r="L401" i="21"/>
  <c r="L400" i="21"/>
  <c r="L399" i="21"/>
  <c r="L398" i="21"/>
  <c r="L396" i="21"/>
  <c r="L395" i="21"/>
  <c r="L394" i="21"/>
  <c r="L393" i="21"/>
  <c r="L392" i="21"/>
  <c r="L391" i="21"/>
  <c r="L390" i="21"/>
  <c r="L389" i="21"/>
  <c r="L388" i="21"/>
  <c r="L387" i="21"/>
  <c r="L384" i="21"/>
  <c r="L373" i="21"/>
  <c r="L361" i="21"/>
  <c r="L350" i="21"/>
  <c r="L339" i="21"/>
  <c r="L327" i="21"/>
  <c r="L316" i="21"/>
  <c r="L305" i="21"/>
  <c r="L293" i="21"/>
  <c r="L282" i="21"/>
  <c r="L271" i="21"/>
  <c r="L256" i="21"/>
  <c r="L259" i="21" s="1"/>
  <c r="L236" i="21"/>
  <c r="L258" i="21" s="1"/>
  <c r="L223" i="21"/>
  <c r="L257" i="21" s="1"/>
  <c r="L190" i="21"/>
  <c r="L193" i="21" s="1"/>
  <c r="L170" i="21"/>
  <c r="L192" i="21" s="1"/>
  <c r="L157" i="21"/>
  <c r="L191" i="21" s="1"/>
  <c r="L126" i="21"/>
  <c r="L115" i="21"/>
  <c r="L103" i="21"/>
  <c r="L92" i="21"/>
  <c r="L81" i="21"/>
  <c r="L68" i="21"/>
  <c r="L67" i="21"/>
  <c r="L66" i="21"/>
  <c r="L65" i="21"/>
  <c r="L64" i="21"/>
  <c r="L63" i="21"/>
  <c r="L62" i="21"/>
  <c r="L61" i="21"/>
  <c r="L60" i="21"/>
  <c r="L59" i="21"/>
  <c r="L57" i="21"/>
  <c r="L56" i="21"/>
  <c r="L55" i="21"/>
  <c r="L54" i="21"/>
  <c r="L53" i="21"/>
  <c r="L52" i="21"/>
  <c r="L51" i="21"/>
  <c r="L50" i="21"/>
  <c r="L49" i="21"/>
  <c r="L48" i="21"/>
  <c r="L46" i="21"/>
  <c r="L45" i="21"/>
  <c r="L44" i="21"/>
  <c r="L43" i="21"/>
  <c r="L42" i="21"/>
  <c r="L41" i="21"/>
  <c r="L40" i="21"/>
  <c r="L39" i="21"/>
  <c r="L38" i="21"/>
  <c r="L37" i="21"/>
  <c r="L34" i="21"/>
  <c r="L33" i="21"/>
  <c r="L32" i="21"/>
  <c r="L31" i="21"/>
  <c r="L30" i="21"/>
  <c r="L29" i="21"/>
  <c r="L28" i="21"/>
  <c r="L27" i="21"/>
  <c r="L26" i="21"/>
  <c r="L23" i="21"/>
  <c r="L22" i="21"/>
  <c r="L21" i="21"/>
  <c r="L20" i="21"/>
  <c r="L19" i="21"/>
  <c r="L18" i="21"/>
  <c r="L17" i="21"/>
  <c r="L16" i="21"/>
  <c r="L15" i="21"/>
  <c r="L14" i="21"/>
  <c r="L12" i="21"/>
  <c r="L11" i="21"/>
  <c r="L10" i="21"/>
  <c r="L9" i="21"/>
  <c r="L8" i="21"/>
  <c r="L7" i="21"/>
  <c r="L6" i="21"/>
  <c r="L5" i="21"/>
  <c r="L4" i="21"/>
  <c r="L3" i="21"/>
  <c r="C5" i="42"/>
  <c r="A343" i="28" l="1"/>
  <c r="A342" i="28"/>
  <c r="A355" i="28"/>
  <c r="A344" i="28"/>
  <c r="S25" i="70"/>
  <c r="T24" i="70" s="1"/>
  <c r="V24" i="70" s="1"/>
  <c r="X24" i="70" s="1"/>
  <c r="A65" i="70"/>
  <c r="A66" i="70"/>
  <c r="K34" i="70"/>
  <c r="L34" i="70" s="1"/>
  <c r="N34" i="70" s="1"/>
  <c r="P34" i="70" s="1"/>
  <c r="A68" i="70"/>
  <c r="S20" i="70"/>
  <c r="T19" i="70" s="1"/>
  <c r="V19" i="70" s="1"/>
  <c r="X19" i="70" s="1"/>
  <c r="A67" i="70"/>
  <c r="C65" i="62"/>
  <c r="D65" i="62" s="1"/>
  <c r="F65" i="62" s="1"/>
  <c r="H65" i="62" s="1"/>
  <c r="A125" i="62"/>
  <c r="A126" i="62"/>
  <c r="C52" i="62"/>
  <c r="D52" i="62" s="1"/>
  <c r="F52" i="62" s="1"/>
  <c r="H52" i="62" s="1"/>
  <c r="A124" i="62"/>
  <c r="A123" i="62"/>
  <c r="C39" i="43"/>
  <c r="C69" i="62"/>
  <c r="D69" i="62" s="1"/>
  <c r="F69" i="62" s="1"/>
  <c r="H69" i="62" s="1"/>
  <c r="F4" i="62" s="1"/>
  <c r="C16" i="42"/>
  <c r="C15" i="42"/>
  <c r="C14" i="42"/>
  <c r="P769" i="21"/>
  <c r="Q1188" i="21"/>
  <c r="P1279" i="21"/>
  <c r="P1537" i="21"/>
  <c r="Q511" i="21"/>
  <c r="Q1279" i="21"/>
  <c r="Q70" i="21"/>
  <c r="Q1028" i="21"/>
  <c r="P70" i="21"/>
  <c r="Q1153" i="21"/>
  <c r="Q1921" i="21"/>
  <c r="Q488" i="21"/>
  <c r="Q1130" i="21"/>
  <c r="Q1480" i="21"/>
  <c r="Q1796" i="21"/>
  <c r="Q1898" i="21"/>
  <c r="P872" i="21"/>
  <c r="Q362" i="21"/>
  <c r="Q454" i="21"/>
  <c r="Q1096" i="21"/>
  <c r="Q1256" i="21"/>
  <c r="Q1864" i="21"/>
  <c r="P385" i="21"/>
  <c r="Q104" i="21"/>
  <c r="Q746" i="21"/>
  <c r="Q838" i="21"/>
  <c r="Q1062" i="21"/>
  <c r="Q1222" i="21"/>
  <c r="Q1830" i="21"/>
  <c r="Q578" i="21"/>
  <c r="Q328" i="21"/>
  <c r="Q712" i="21"/>
  <c r="Q804" i="21"/>
  <c r="Q1663" i="21"/>
  <c r="P1864" i="21"/>
  <c r="Q36" i="21"/>
  <c r="Q294" i="21"/>
  <c r="Q678" i="21"/>
  <c r="Q895" i="21"/>
  <c r="Q1537" i="21"/>
  <c r="Q1640" i="21"/>
  <c r="P127" i="21"/>
  <c r="P1096" i="21"/>
  <c r="P1188" i="21"/>
  <c r="P1514" i="21"/>
  <c r="P1663" i="21"/>
  <c r="P1830" i="21"/>
  <c r="Q127" i="21"/>
  <c r="Q385" i="21"/>
  <c r="Q769" i="21"/>
  <c r="Q872" i="21"/>
  <c r="Q1514" i="21"/>
  <c r="Q1606" i="21"/>
  <c r="Q260" i="21"/>
  <c r="Q644" i="21"/>
  <c r="P1028" i="21"/>
  <c r="Q1412" i="21"/>
  <c r="L1830" i="21"/>
  <c r="P36" i="21"/>
  <c r="P511" i="21"/>
  <c r="P1640" i="21"/>
  <c r="Q1446" i="21"/>
  <c r="Q1572" i="21"/>
  <c r="L1921" i="21"/>
  <c r="P746" i="21"/>
  <c r="P838" i="21"/>
  <c r="P1921" i="21"/>
  <c r="P260" i="21"/>
  <c r="P362" i="21"/>
  <c r="P1412" i="21"/>
  <c r="P1480" i="21"/>
  <c r="P1606" i="21"/>
  <c r="P328" i="21"/>
  <c r="P712" i="21"/>
  <c r="P804" i="21"/>
  <c r="P1062" i="21"/>
  <c r="P1446" i="21"/>
  <c r="P1572" i="21"/>
  <c r="P1796" i="21"/>
  <c r="P294" i="21"/>
  <c r="P678" i="21"/>
  <c r="P895" i="21"/>
  <c r="P1153" i="21"/>
  <c r="P1256" i="21"/>
  <c r="P644" i="21"/>
  <c r="P578" i="21"/>
  <c r="P488" i="21"/>
  <c r="P104" i="21"/>
  <c r="P454" i="21"/>
  <c r="P1130" i="21"/>
  <c r="P1222" i="21"/>
  <c r="P1898" i="21"/>
  <c r="L769" i="21"/>
  <c r="L1537" i="21"/>
  <c r="L488" i="21"/>
  <c r="L104" i="21"/>
  <c r="L655" i="21"/>
  <c r="L689" i="21"/>
  <c r="L712" i="21" s="1"/>
  <c r="L895" i="21"/>
  <c r="L1130" i="21"/>
  <c r="L1279" i="21"/>
  <c r="L1864" i="21"/>
  <c r="L362" i="21"/>
  <c r="L408" i="21"/>
  <c r="L454" i="21"/>
  <c r="L1176" i="21"/>
  <c r="L1730" i="21"/>
  <c r="L1028" i="21"/>
  <c r="L1096" i="21"/>
  <c r="L1256" i="21"/>
  <c r="L1571" i="21"/>
  <c r="L1605" i="21"/>
  <c r="L1663" i="21"/>
  <c r="L127" i="21"/>
  <c r="L578" i="21"/>
  <c r="L1514" i="21"/>
  <c r="L1412" i="21"/>
  <c r="L35" i="21"/>
  <c r="L194" i="21"/>
  <c r="L328" i="21"/>
  <c r="L397" i="21"/>
  <c r="L644" i="21"/>
  <c r="L746" i="21"/>
  <c r="L803" i="21"/>
  <c r="L837" i="21"/>
  <c r="L962" i="21"/>
  <c r="L1165" i="21"/>
  <c r="L1199" i="21"/>
  <c r="L1210" i="21"/>
  <c r="L1480" i="21"/>
  <c r="L1594" i="21"/>
  <c r="L24" i="21"/>
  <c r="L58" i="21"/>
  <c r="L294" i="21"/>
  <c r="L677" i="21"/>
  <c r="L826" i="21"/>
  <c r="L1062" i="21"/>
  <c r="L1346" i="21"/>
  <c r="L1446" i="21"/>
  <c r="L1549" i="21"/>
  <c r="L1560" i="21"/>
  <c r="L1583" i="21"/>
  <c r="L1640" i="21"/>
  <c r="L1796" i="21"/>
  <c r="L47" i="21"/>
  <c r="L385" i="21"/>
  <c r="L511" i="21"/>
  <c r="L666" i="21"/>
  <c r="L781" i="21"/>
  <c r="L792" i="21"/>
  <c r="L815" i="21"/>
  <c r="L872" i="21"/>
  <c r="L1153" i="21"/>
  <c r="L1187" i="21"/>
  <c r="L1221" i="21"/>
  <c r="L1898" i="21"/>
  <c r="L69" i="21"/>
  <c r="L260" i="21"/>
  <c r="L13" i="21"/>
  <c r="L419" i="21"/>
  <c r="B224" i="28"/>
  <c r="A295" i="28" s="1"/>
  <c r="A18" i="73" s="1"/>
  <c r="B217" i="28"/>
  <c r="B210" i="28"/>
  <c r="A293" i="28" s="1"/>
  <c r="A10" i="73" s="1"/>
  <c r="C387" i="21"/>
  <c r="B203" i="28" s="1"/>
  <c r="I677" i="21"/>
  <c r="C3" i="21"/>
  <c r="B196" i="28" s="1"/>
  <c r="A291" i="28" s="1"/>
  <c r="A2" i="73" s="1"/>
  <c r="N1920" i="21"/>
  <c r="O1920" i="21" s="1"/>
  <c r="K1920" i="21"/>
  <c r="J1920" i="21"/>
  <c r="I1920" i="21"/>
  <c r="O1919" i="21"/>
  <c r="O1918" i="21"/>
  <c r="O1917" i="21"/>
  <c r="O1916" i="21"/>
  <c r="O1915" i="21"/>
  <c r="O1914" i="21"/>
  <c r="O1913" i="21"/>
  <c r="O1912" i="21"/>
  <c r="O1911" i="21"/>
  <c r="O1910" i="21"/>
  <c r="N1909" i="21"/>
  <c r="K1909" i="21"/>
  <c r="J1909" i="21"/>
  <c r="I1909" i="21"/>
  <c r="O1908" i="21"/>
  <c r="O1907" i="21"/>
  <c r="O1906" i="21"/>
  <c r="O1905" i="21"/>
  <c r="O1904" i="21"/>
  <c r="O1903" i="21"/>
  <c r="O1902" i="21"/>
  <c r="O1901" i="21"/>
  <c r="O1900" i="21"/>
  <c r="O1899" i="21"/>
  <c r="N1897" i="21"/>
  <c r="O1897" i="21" s="1"/>
  <c r="K1897" i="21"/>
  <c r="J1897" i="21"/>
  <c r="I1897" i="21"/>
  <c r="O1896" i="21"/>
  <c r="O1895" i="21"/>
  <c r="O1894" i="21"/>
  <c r="O1893" i="21"/>
  <c r="O1892" i="21"/>
  <c r="O1891" i="21"/>
  <c r="O1890" i="21"/>
  <c r="O1889" i="21"/>
  <c r="O1888" i="21"/>
  <c r="O1887" i="21"/>
  <c r="N1886" i="21"/>
  <c r="K1886" i="21"/>
  <c r="J1886" i="21"/>
  <c r="I1886" i="21"/>
  <c r="O1885" i="21"/>
  <c r="O1884" i="21"/>
  <c r="O1883" i="21"/>
  <c r="O1882" i="21"/>
  <c r="O1881" i="21"/>
  <c r="O1880" i="21"/>
  <c r="O1879" i="21"/>
  <c r="O1878" i="21"/>
  <c r="O1877" i="21"/>
  <c r="O1876" i="21"/>
  <c r="N1875" i="21"/>
  <c r="O1875" i="21" s="1"/>
  <c r="K1875" i="21"/>
  <c r="J1875" i="21"/>
  <c r="I1875" i="21"/>
  <c r="O1874" i="21"/>
  <c r="O1873" i="21"/>
  <c r="O1872" i="21"/>
  <c r="O1871" i="21"/>
  <c r="O1870" i="21"/>
  <c r="O1869" i="21"/>
  <c r="O1868" i="21"/>
  <c r="O1867" i="21"/>
  <c r="O1866" i="21"/>
  <c r="O1865" i="21"/>
  <c r="N1863" i="21"/>
  <c r="O1863" i="21" s="1"/>
  <c r="K1863" i="21"/>
  <c r="J1863" i="21"/>
  <c r="I1863" i="21"/>
  <c r="O1862" i="21"/>
  <c r="O1861" i="21"/>
  <c r="O1860" i="21"/>
  <c r="O1859" i="21"/>
  <c r="O1858" i="21"/>
  <c r="O1857" i="21"/>
  <c r="O1856" i="21"/>
  <c r="O1855" i="21"/>
  <c r="O1854" i="21"/>
  <c r="O1853" i="21"/>
  <c r="N1852" i="21"/>
  <c r="O1852" i="21" s="1"/>
  <c r="K1852" i="21"/>
  <c r="J1852" i="21"/>
  <c r="I1852" i="21"/>
  <c r="O1851" i="21"/>
  <c r="O1850" i="21"/>
  <c r="O1849" i="21"/>
  <c r="O1848" i="21"/>
  <c r="O1847" i="21"/>
  <c r="O1846" i="21"/>
  <c r="O1845" i="21"/>
  <c r="O1844" i="21"/>
  <c r="O1843" i="21"/>
  <c r="O1842" i="21"/>
  <c r="N1841" i="21"/>
  <c r="K1841" i="21"/>
  <c r="J1841" i="21"/>
  <c r="I1841" i="21"/>
  <c r="O1840" i="21"/>
  <c r="O1839" i="21"/>
  <c r="O1838" i="21"/>
  <c r="O1837" i="21"/>
  <c r="O1836" i="21"/>
  <c r="O1835" i="21"/>
  <c r="O1834" i="21"/>
  <c r="O1833" i="21"/>
  <c r="O1832" i="21"/>
  <c r="O1831" i="21"/>
  <c r="V1830" i="21"/>
  <c r="U1830" i="21"/>
  <c r="R1829" i="21"/>
  <c r="N1829" i="21"/>
  <c r="O1829" i="21" s="1"/>
  <c r="K1829" i="21"/>
  <c r="J1829" i="21"/>
  <c r="I1829" i="21"/>
  <c r="V1828" i="21"/>
  <c r="R1828" i="21"/>
  <c r="S1828" i="21" s="1"/>
  <c r="O1828" i="21"/>
  <c r="V1827" i="21"/>
  <c r="R1827" i="21"/>
  <c r="O1827" i="21"/>
  <c r="V1826" i="21"/>
  <c r="R1826" i="21"/>
  <c r="S1826" i="21" s="1"/>
  <c r="O1826" i="21"/>
  <c r="V1825" i="21"/>
  <c r="R1825" i="21"/>
  <c r="O1825" i="21"/>
  <c r="V1824" i="21"/>
  <c r="R1824" i="21"/>
  <c r="O1824" i="21"/>
  <c r="V1823" i="21"/>
  <c r="R1823" i="21"/>
  <c r="S1823" i="21" s="1"/>
  <c r="O1823" i="21"/>
  <c r="V1822" i="21"/>
  <c r="R1822" i="21"/>
  <c r="S1822" i="21" s="1"/>
  <c r="O1822" i="21"/>
  <c r="V1821" i="21"/>
  <c r="R1821" i="21"/>
  <c r="S1821" i="21" s="1"/>
  <c r="O1821" i="21"/>
  <c r="V1820" i="21"/>
  <c r="R1820" i="21"/>
  <c r="S1820" i="21" s="1"/>
  <c r="O1820" i="21"/>
  <c r="V1819" i="21"/>
  <c r="R1819" i="21"/>
  <c r="S1819" i="21" s="1"/>
  <c r="O1819" i="21"/>
  <c r="R1818" i="21"/>
  <c r="N1818" i="21"/>
  <c r="O1818" i="21" s="1"/>
  <c r="K1818" i="21"/>
  <c r="J1818" i="21"/>
  <c r="I1818" i="21"/>
  <c r="V1817" i="21"/>
  <c r="R1817" i="21"/>
  <c r="T1817" i="21" s="1"/>
  <c r="O1817" i="21"/>
  <c r="V1816" i="21"/>
  <c r="R1816" i="21"/>
  <c r="S1816" i="21" s="1"/>
  <c r="O1816" i="21"/>
  <c r="V1815" i="21"/>
  <c r="R1815" i="21"/>
  <c r="S1815" i="21" s="1"/>
  <c r="O1815" i="21"/>
  <c r="V1814" i="21"/>
  <c r="R1814" i="21"/>
  <c r="T1814" i="21" s="1"/>
  <c r="O1814" i="21"/>
  <c r="V1813" i="21"/>
  <c r="R1813" i="21"/>
  <c r="S1813" i="21" s="1"/>
  <c r="O1813" i="21"/>
  <c r="V1812" i="21"/>
  <c r="R1812" i="21"/>
  <c r="O1812" i="21"/>
  <c r="V1811" i="21"/>
  <c r="R1811" i="21"/>
  <c r="T1811" i="21" s="1"/>
  <c r="O1811" i="21"/>
  <c r="V1810" i="21"/>
  <c r="R1810" i="21"/>
  <c r="S1810" i="21" s="1"/>
  <c r="O1810" i="21"/>
  <c r="V1809" i="21"/>
  <c r="R1809" i="21"/>
  <c r="O1809" i="21"/>
  <c r="V1808" i="21"/>
  <c r="R1808" i="21"/>
  <c r="T1808" i="21" s="1"/>
  <c r="O1808" i="21"/>
  <c r="R1807" i="21"/>
  <c r="N1807" i="21"/>
  <c r="K1807" i="21"/>
  <c r="J1807" i="21"/>
  <c r="I1807" i="21"/>
  <c r="V1806" i="21"/>
  <c r="R1806" i="21"/>
  <c r="T1806" i="21" s="1"/>
  <c r="O1806" i="21"/>
  <c r="V1805" i="21"/>
  <c r="R1805" i="21"/>
  <c r="T1805" i="21" s="1"/>
  <c r="O1805" i="21"/>
  <c r="V1804" i="21"/>
  <c r="R1804" i="21"/>
  <c r="T1804" i="21" s="1"/>
  <c r="O1804" i="21"/>
  <c r="V1803" i="21"/>
  <c r="R1803" i="21"/>
  <c r="T1803" i="21" s="1"/>
  <c r="O1803" i="21"/>
  <c r="V1802" i="21"/>
  <c r="R1802" i="21"/>
  <c r="T1802" i="21" s="1"/>
  <c r="O1802" i="21"/>
  <c r="V1801" i="21"/>
  <c r="R1801" i="21"/>
  <c r="T1801" i="21" s="1"/>
  <c r="O1801" i="21"/>
  <c r="V1800" i="21"/>
  <c r="R1800" i="21"/>
  <c r="T1800" i="21" s="1"/>
  <c r="O1800" i="21"/>
  <c r="V1799" i="21"/>
  <c r="R1799" i="21"/>
  <c r="T1799" i="21" s="1"/>
  <c r="O1799" i="21"/>
  <c r="V1798" i="21"/>
  <c r="R1798" i="21"/>
  <c r="T1798" i="21" s="1"/>
  <c r="O1798" i="21"/>
  <c r="V1797" i="21"/>
  <c r="R1797" i="21"/>
  <c r="T1797" i="21" s="1"/>
  <c r="O1797" i="21"/>
  <c r="M1795" i="21"/>
  <c r="M1794" i="21"/>
  <c r="N1792" i="21"/>
  <c r="N1795" i="21" s="1"/>
  <c r="O1795" i="21" s="1"/>
  <c r="K1792" i="21"/>
  <c r="K1795" i="21" s="1"/>
  <c r="J1792" i="21"/>
  <c r="J1795" i="21" s="1"/>
  <c r="I1792" i="21"/>
  <c r="I1795" i="21" s="1"/>
  <c r="O1791" i="21"/>
  <c r="O1790" i="21"/>
  <c r="O1789" i="21"/>
  <c r="O1788" i="21"/>
  <c r="O1787" i="21"/>
  <c r="O1786" i="21"/>
  <c r="O1785" i="21"/>
  <c r="O1784" i="21"/>
  <c r="O1783" i="21"/>
  <c r="O1782" i="21"/>
  <c r="O1781" i="21"/>
  <c r="O1780" i="21"/>
  <c r="O1779" i="21"/>
  <c r="O1778" i="21"/>
  <c r="O1777" i="21"/>
  <c r="O1776" i="21"/>
  <c r="O1775" i="21"/>
  <c r="O1774" i="21"/>
  <c r="O1773" i="21"/>
  <c r="N1772" i="21"/>
  <c r="O1772" i="21" s="1"/>
  <c r="K1772" i="21"/>
  <c r="K1794" i="21" s="1"/>
  <c r="J1772" i="21"/>
  <c r="J1794" i="21" s="1"/>
  <c r="I1772" i="21"/>
  <c r="I1794" i="21" s="1"/>
  <c r="O1771" i="21"/>
  <c r="O1770" i="21"/>
  <c r="O1769" i="21"/>
  <c r="O1768" i="21"/>
  <c r="O1767" i="21"/>
  <c r="O1766" i="21"/>
  <c r="O1765" i="21"/>
  <c r="O1764" i="21"/>
  <c r="O1763" i="21"/>
  <c r="O1762" i="21"/>
  <c r="O1761" i="21"/>
  <c r="O1760" i="21"/>
  <c r="N1759" i="21"/>
  <c r="O1759" i="21" s="1"/>
  <c r="K1759" i="21"/>
  <c r="K1793" i="21" s="1"/>
  <c r="J1759" i="21"/>
  <c r="J1793" i="21" s="1"/>
  <c r="I1759" i="21"/>
  <c r="I1793" i="21" s="1"/>
  <c r="O1758" i="21"/>
  <c r="O1757" i="21"/>
  <c r="O1756" i="21"/>
  <c r="O1755" i="21"/>
  <c r="O1754" i="21"/>
  <c r="O1753" i="21"/>
  <c r="O1752" i="21"/>
  <c r="O1751" i="21"/>
  <c r="O1750" i="21"/>
  <c r="O1749" i="21"/>
  <c r="O1748" i="21"/>
  <c r="O1747" i="21"/>
  <c r="O1746" i="21"/>
  <c r="O1745" i="21"/>
  <c r="O1744" i="21"/>
  <c r="O1743" i="21"/>
  <c r="O1742" i="21"/>
  <c r="O1741" i="21"/>
  <c r="O1740" i="21"/>
  <c r="O1739" i="21"/>
  <c r="O1738" i="21"/>
  <c r="O1737" i="21"/>
  <c r="O1736" i="21"/>
  <c r="O1735" i="21"/>
  <c r="O1734" i="21"/>
  <c r="O1733" i="21"/>
  <c r="O1732" i="21"/>
  <c r="O1731" i="21"/>
  <c r="M1729" i="21"/>
  <c r="M1728" i="21"/>
  <c r="N1726" i="21"/>
  <c r="N1729" i="21" s="1"/>
  <c r="O1729" i="21" s="1"/>
  <c r="K1726" i="21"/>
  <c r="K1729" i="21" s="1"/>
  <c r="J1726" i="21"/>
  <c r="J1729" i="21" s="1"/>
  <c r="I1726" i="21"/>
  <c r="I1729" i="21" s="1"/>
  <c r="O1725" i="21"/>
  <c r="O1724" i="21"/>
  <c r="O1723" i="21"/>
  <c r="O1722" i="21"/>
  <c r="O1721" i="21"/>
  <c r="O1720" i="21"/>
  <c r="O1719" i="21"/>
  <c r="O1718" i="21"/>
  <c r="O1717" i="21"/>
  <c r="O1716" i="21"/>
  <c r="O1715" i="21"/>
  <c r="O1714" i="21"/>
  <c r="O1713" i="21"/>
  <c r="O1712" i="21"/>
  <c r="O1711" i="21"/>
  <c r="O1710" i="21"/>
  <c r="O1709" i="21"/>
  <c r="O1708" i="21"/>
  <c r="O1707" i="21"/>
  <c r="N1706" i="21"/>
  <c r="O1706" i="21" s="1"/>
  <c r="K1706" i="21"/>
  <c r="K1728" i="21" s="1"/>
  <c r="J1706" i="21"/>
  <c r="J1728" i="21" s="1"/>
  <c r="I1706" i="21"/>
  <c r="I1728" i="21" s="1"/>
  <c r="O1705" i="21"/>
  <c r="O1704" i="21"/>
  <c r="O1703" i="21"/>
  <c r="O1702" i="21"/>
  <c r="O1701" i="21"/>
  <c r="O1700" i="21"/>
  <c r="O1699" i="21"/>
  <c r="O1698" i="21"/>
  <c r="O1697" i="21"/>
  <c r="O1696" i="21"/>
  <c r="O1695" i="21"/>
  <c r="O1694" i="21"/>
  <c r="N1693" i="21"/>
  <c r="O1693" i="21" s="1"/>
  <c r="K1693" i="21"/>
  <c r="K1727" i="21" s="1"/>
  <c r="I1693" i="21"/>
  <c r="I1727" i="21" s="1"/>
  <c r="O1692" i="21"/>
  <c r="P1692" i="21" s="1"/>
  <c r="Q1692" i="21" s="1"/>
  <c r="J1692" i="21"/>
  <c r="O1691" i="21"/>
  <c r="P1691" i="21" s="1"/>
  <c r="Q1691" i="21" s="1"/>
  <c r="J1691" i="21"/>
  <c r="O1690" i="21"/>
  <c r="P1690" i="21" s="1"/>
  <c r="Q1690" i="21" s="1"/>
  <c r="J1690" i="21"/>
  <c r="O1689" i="21"/>
  <c r="P1689" i="21" s="1"/>
  <c r="Q1689" i="21" s="1"/>
  <c r="J1689" i="21"/>
  <c r="O1688" i="21"/>
  <c r="P1688" i="21" s="1"/>
  <c r="Q1688" i="21" s="1"/>
  <c r="J1688" i="21"/>
  <c r="O1687" i="21"/>
  <c r="P1687" i="21" s="1"/>
  <c r="Q1687" i="21" s="1"/>
  <c r="J1687" i="21"/>
  <c r="O1686" i="21"/>
  <c r="P1686" i="21" s="1"/>
  <c r="Q1686" i="21" s="1"/>
  <c r="J1686" i="21"/>
  <c r="O1685" i="21"/>
  <c r="P1685" i="21" s="1"/>
  <c r="Q1685" i="21" s="1"/>
  <c r="J1685" i="21"/>
  <c r="O1684" i="21"/>
  <c r="P1684" i="21" s="1"/>
  <c r="Q1684" i="21" s="1"/>
  <c r="J1684" i="21"/>
  <c r="O1683" i="21"/>
  <c r="P1683" i="21" s="1"/>
  <c r="Q1683" i="21" s="1"/>
  <c r="J1683" i="21"/>
  <c r="O1682" i="21"/>
  <c r="P1682" i="21" s="1"/>
  <c r="Q1682" i="21" s="1"/>
  <c r="J1682" i="21"/>
  <c r="O1681" i="21"/>
  <c r="P1681" i="21" s="1"/>
  <c r="Q1681" i="21" s="1"/>
  <c r="J1681" i="21"/>
  <c r="O1680" i="21"/>
  <c r="P1680" i="21" s="1"/>
  <c r="Q1680" i="21" s="1"/>
  <c r="J1680" i="21"/>
  <c r="O1679" i="21"/>
  <c r="P1679" i="21" s="1"/>
  <c r="Q1679" i="21" s="1"/>
  <c r="J1679" i="21"/>
  <c r="O1678" i="21"/>
  <c r="P1678" i="21" s="1"/>
  <c r="Q1678" i="21" s="1"/>
  <c r="J1678" i="21"/>
  <c r="O1677" i="21"/>
  <c r="P1677" i="21" s="1"/>
  <c r="Q1677" i="21" s="1"/>
  <c r="J1677" i="21"/>
  <c r="O1676" i="21"/>
  <c r="P1676" i="21" s="1"/>
  <c r="Q1676" i="21" s="1"/>
  <c r="J1676" i="21"/>
  <c r="O1675" i="21"/>
  <c r="P1675" i="21" s="1"/>
  <c r="Q1675" i="21" s="1"/>
  <c r="J1675" i="21"/>
  <c r="O1674" i="21"/>
  <c r="P1674" i="21" s="1"/>
  <c r="Q1674" i="21" s="1"/>
  <c r="J1674" i="21"/>
  <c r="O1673" i="21"/>
  <c r="P1673" i="21" s="1"/>
  <c r="Q1673" i="21" s="1"/>
  <c r="J1673" i="21"/>
  <c r="O1672" i="21"/>
  <c r="P1672" i="21" s="1"/>
  <c r="Q1672" i="21" s="1"/>
  <c r="J1672" i="21"/>
  <c r="O1671" i="21"/>
  <c r="P1671" i="21" s="1"/>
  <c r="Q1671" i="21" s="1"/>
  <c r="J1671" i="21"/>
  <c r="O1670" i="21"/>
  <c r="P1670" i="21" s="1"/>
  <c r="Q1670" i="21" s="1"/>
  <c r="J1670" i="21"/>
  <c r="O1669" i="21"/>
  <c r="P1669" i="21" s="1"/>
  <c r="Q1669" i="21" s="1"/>
  <c r="J1669" i="21"/>
  <c r="O1668" i="21"/>
  <c r="P1668" i="21" s="1"/>
  <c r="Q1668" i="21" s="1"/>
  <c r="J1668" i="21"/>
  <c r="O1667" i="21"/>
  <c r="P1667" i="21" s="1"/>
  <c r="Q1667" i="21" s="1"/>
  <c r="J1667" i="21"/>
  <c r="O1666" i="21"/>
  <c r="P1666" i="21" s="1"/>
  <c r="Q1666" i="21" s="1"/>
  <c r="J1666" i="21"/>
  <c r="O1665" i="21"/>
  <c r="P1665" i="21" s="1"/>
  <c r="Q1665" i="21" s="1"/>
  <c r="J1665" i="21"/>
  <c r="N1662" i="21"/>
  <c r="O1662" i="21" s="1"/>
  <c r="K1662" i="21"/>
  <c r="J1662" i="21"/>
  <c r="I1662" i="21"/>
  <c r="O1661" i="21"/>
  <c r="O1660" i="21"/>
  <c r="O1659" i="21"/>
  <c r="O1658" i="21"/>
  <c r="O1657" i="21"/>
  <c r="O1656" i="21"/>
  <c r="O1655" i="21"/>
  <c r="O1654" i="21"/>
  <c r="O1653" i="21"/>
  <c r="O1652" i="21"/>
  <c r="N1651" i="21"/>
  <c r="O1651" i="21" s="1"/>
  <c r="K1651" i="21"/>
  <c r="J1651" i="21"/>
  <c r="I1651" i="21"/>
  <c r="O1650" i="21"/>
  <c r="O1649" i="21"/>
  <c r="O1648" i="21"/>
  <c r="O1647" i="21"/>
  <c r="O1646" i="21"/>
  <c r="O1645" i="21"/>
  <c r="O1644" i="21"/>
  <c r="O1643" i="21"/>
  <c r="O1642" i="21"/>
  <c r="O1641" i="21"/>
  <c r="N1639" i="21"/>
  <c r="O1639" i="21" s="1"/>
  <c r="K1639" i="21"/>
  <c r="J1639" i="21"/>
  <c r="I1639" i="21"/>
  <c r="O1638" i="21"/>
  <c r="O1637" i="21"/>
  <c r="O1636" i="21"/>
  <c r="O1635" i="21"/>
  <c r="O1634" i="21"/>
  <c r="O1633" i="21"/>
  <c r="O1632" i="21"/>
  <c r="O1631" i="21"/>
  <c r="O1630" i="21"/>
  <c r="O1629" i="21"/>
  <c r="N1628" i="21"/>
  <c r="O1628" i="21" s="1"/>
  <c r="K1628" i="21"/>
  <c r="J1628" i="21"/>
  <c r="I1628" i="21"/>
  <c r="O1627" i="21"/>
  <c r="O1626" i="21"/>
  <c r="O1625" i="21"/>
  <c r="O1624" i="21"/>
  <c r="O1623" i="21"/>
  <c r="O1622" i="21"/>
  <c r="O1621" i="21"/>
  <c r="O1620" i="21"/>
  <c r="O1619" i="21"/>
  <c r="O1618" i="21"/>
  <c r="N1617" i="21"/>
  <c r="O1617" i="21" s="1"/>
  <c r="K1617" i="21"/>
  <c r="J1617" i="21"/>
  <c r="I1617" i="21"/>
  <c r="O1616" i="21"/>
  <c r="O1615" i="21"/>
  <c r="O1614" i="21"/>
  <c r="O1613" i="21"/>
  <c r="O1612" i="21"/>
  <c r="O1611" i="21"/>
  <c r="O1610" i="21"/>
  <c r="O1609" i="21"/>
  <c r="O1608" i="21"/>
  <c r="O1607" i="21"/>
  <c r="V1606" i="21"/>
  <c r="U1606" i="21"/>
  <c r="S1605" i="21"/>
  <c r="R1605" i="21"/>
  <c r="N1605" i="21"/>
  <c r="O1605" i="21" s="1"/>
  <c r="J1605" i="21"/>
  <c r="I1605" i="21"/>
  <c r="R1604" i="21"/>
  <c r="K1604" i="21" s="1"/>
  <c r="O1604" i="21"/>
  <c r="R1603" i="21"/>
  <c r="O1603" i="21"/>
  <c r="R1602" i="21"/>
  <c r="O1602" i="21"/>
  <c r="R1601" i="21"/>
  <c r="K1601" i="21" s="1"/>
  <c r="O1601" i="21"/>
  <c r="R1600" i="21"/>
  <c r="O1600" i="21"/>
  <c r="R1599" i="21"/>
  <c r="O1599" i="21"/>
  <c r="R1598" i="21"/>
  <c r="O1598" i="21"/>
  <c r="R1597" i="21"/>
  <c r="T1597" i="21" s="1"/>
  <c r="W1597" i="21" s="1"/>
  <c r="X1597" i="21" s="1"/>
  <c r="O1597" i="21"/>
  <c r="R1596" i="21"/>
  <c r="K1596" i="21" s="1"/>
  <c r="O1596" i="21"/>
  <c r="R1595" i="21"/>
  <c r="O1595" i="21"/>
  <c r="S1594" i="21"/>
  <c r="R1594" i="21"/>
  <c r="N1594" i="21"/>
  <c r="O1594" i="21" s="1"/>
  <c r="J1594" i="21"/>
  <c r="I1594" i="21"/>
  <c r="R1593" i="21"/>
  <c r="O1593" i="21"/>
  <c r="R1592" i="21"/>
  <c r="O1592" i="21"/>
  <c r="R1591" i="21"/>
  <c r="T1591" i="21" s="1"/>
  <c r="W1591" i="21" s="1"/>
  <c r="X1591" i="21" s="1"/>
  <c r="O1591" i="21"/>
  <c r="R1590" i="21"/>
  <c r="T1590" i="21" s="1"/>
  <c r="W1590" i="21" s="1"/>
  <c r="X1590" i="21" s="1"/>
  <c r="O1590" i="21"/>
  <c r="R1589" i="21"/>
  <c r="T1589" i="21" s="1"/>
  <c r="W1589" i="21" s="1"/>
  <c r="X1589" i="21" s="1"/>
  <c r="O1589" i="21"/>
  <c r="R1588" i="21"/>
  <c r="O1588" i="21"/>
  <c r="R1587" i="21"/>
  <c r="K1587" i="21" s="1"/>
  <c r="O1587" i="21"/>
  <c r="R1586" i="21"/>
  <c r="O1586" i="21"/>
  <c r="R1585" i="21"/>
  <c r="O1585" i="21"/>
  <c r="R1584" i="21"/>
  <c r="O1584" i="21"/>
  <c r="S1583" i="21"/>
  <c r="R1583" i="21"/>
  <c r="N1583" i="21"/>
  <c r="O1583" i="21" s="1"/>
  <c r="J1583" i="21"/>
  <c r="I1583" i="21"/>
  <c r="R1582" i="21"/>
  <c r="K1582" i="21" s="1"/>
  <c r="O1582" i="21"/>
  <c r="R1581" i="21"/>
  <c r="O1581" i="21"/>
  <c r="R1580" i="21"/>
  <c r="K1580" i="21" s="1"/>
  <c r="O1580" i="21"/>
  <c r="R1579" i="21"/>
  <c r="O1579" i="21"/>
  <c r="R1578" i="21"/>
  <c r="K1578" i="21" s="1"/>
  <c r="O1578" i="21"/>
  <c r="R1577" i="21"/>
  <c r="O1577" i="21"/>
  <c r="R1576" i="21"/>
  <c r="K1576" i="21" s="1"/>
  <c r="O1576" i="21"/>
  <c r="R1575" i="21"/>
  <c r="O1575" i="21"/>
  <c r="R1574" i="21"/>
  <c r="K1574" i="21" s="1"/>
  <c r="O1574" i="21"/>
  <c r="R1573" i="21"/>
  <c r="O1573" i="21"/>
  <c r="V1572" i="21"/>
  <c r="U1572" i="21"/>
  <c r="R1571" i="21"/>
  <c r="N1571" i="21"/>
  <c r="O1571" i="21" s="1"/>
  <c r="J1571" i="21"/>
  <c r="I1571" i="21"/>
  <c r="V1570" i="21"/>
  <c r="R1570" i="21"/>
  <c r="S1570" i="21" s="1"/>
  <c r="O1570" i="21"/>
  <c r="V1569" i="21"/>
  <c r="R1569" i="21"/>
  <c r="O1569" i="21"/>
  <c r="V1568" i="21"/>
  <c r="R1568" i="21"/>
  <c r="O1568" i="21"/>
  <c r="V1567" i="21"/>
  <c r="R1567" i="21"/>
  <c r="S1567" i="21" s="1"/>
  <c r="O1567" i="21"/>
  <c r="V1566" i="21"/>
  <c r="R1566" i="21"/>
  <c r="S1566" i="21" s="1"/>
  <c r="O1566" i="21"/>
  <c r="V1565" i="21"/>
  <c r="R1565" i="21"/>
  <c r="T1565" i="21" s="1"/>
  <c r="O1565" i="21"/>
  <c r="V1564" i="21"/>
  <c r="R1564" i="21"/>
  <c r="S1564" i="21" s="1"/>
  <c r="O1564" i="21"/>
  <c r="V1563" i="21"/>
  <c r="R1563" i="21"/>
  <c r="T1563" i="21" s="1"/>
  <c r="O1563" i="21"/>
  <c r="V1562" i="21"/>
  <c r="R1562" i="21"/>
  <c r="S1562" i="21" s="1"/>
  <c r="O1562" i="21"/>
  <c r="V1561" i="21"/>
  <c r="R1561" i="21"/>
  <c r="O1561" i="21"/>
  <c r="R1560" i="21"/>
  <c r="N1560" i="21"/>
  <c r="O1560" i="21" s="1"/>
  <c r="J1560" i="21"/>
  <c r="I1560" i="21"/>
  <c r="V1559" i="21"/>
  <c r="R1559" i="21"/>
  <c r="O1559" i="21"/>
  <c r="V1558" i="21"/>
  <c r="R1558" i="21"/>
  <c r="O1558" i="21"/>
  <c r="V1557" i="21"/>
  <c r="R1557" i="21"/>
  <c r="S1557" i="21" s="1"/>
  <c r="O1557" i="21"/>
  <c r="V1556" i="21"/>
  <c r="R1556" i="21"/>
  <c r="S1556" i="21" s="1"/>
  <c r="O1556" i="21"/>
  <c r="V1555" i="21"/>
  <c r="R1555" i="21"/>
  <c r="T1555" i="21" s="1"/>
  <c r="O1555" i="21"/>
  <c r="V1554" i="21"/>
  <c r="R1554" i="21"/>
  <c r="S1554" i="21" s="1"/>
  <c r="O1554" i="21"/>
  <c r="V1553" i="21"/>
  <c r="R1553" i="21"/>
  <c r="S1553" i="21" s="1"/>
  <c r="O1553" i="21"/>
  <c r="V1552" i="21"/>
  <c r="R1552" i="21"/>
  <c r="O1552" i="21"/>
  <c r="V1551" i="21"/>
  <c r="R1551" i="21"/>
  <c r="O1551" i="21"/>
  <c r="V1550" i="21"/>
  <c r="R1550" i="21"/>
  <c r="O1550" i="21"/>
  <c r="R1549" i="21"/>
  <c r="N1549" i="21"/>
  <c r="J1549" i="21"/>
  <c r="I1549" i="21"/>
  <c r="V1548" i="21"/>
  <c r="R1548" i="21"/>
  <c r="S1548" i="21" s="1"/>
  <c r="O1548" i="21"/>
  <c r="V1547" i="21"/>
  <c r="R1547" i="21"/>
  <c r="S1547" i="21" s="1"/>
  <c r="O1547" i="21"/>
  <c r="V1546" i="21"/>
  <c r="R1546" i="21"/>
  <c r="O1546" i="21"/>
  <c r="V1545" i="21"/>
  <c r="R1545" i="21"/>
  <c r="O1545" i="21"/>
  <c r="V1544" i="21"/>
  <c r="R1544" i="21"/>
  <c r="O1544" i="21"/>
  <c r="V1543" i="21"/>
  <c r="R1543" i="21"/>
  <c r="O1543" i="21"/>
  <c r="V1542" i="21"/>
  <c r="R1542" i="21"/>
  <c r="S1542" i="21" s="1"/>
  <c r="O1542" i="21"/>
  <c r="V1541" i="21"/>
  <c r="R1541" i="21"/>
  <c r="T1541" i="21" s="1"/>
  <c r="O1541" i="21"/>
  <c r="V1540" i="21"/>
  <c r="R1540" i="21"/>
  <c r="S1540" i="21" s="1"/>
  <c r="O1540" i="21"/>
  <c r="V1539" i="21"/>
  <c r="R1539" i="21"/>
  <c r="T1539" i="21" s="1"/>
  <c r="O1539" i="21"/>
  <c r="N1536" i="21"/>
  <c r="O1536" i="21" s="1"/>
  <c r="K1536" i="21"/>
  <c r="J1536" i="21"/>
  <c r="I1536" i="21"/>
  <c r="O1535" i="21"/>
  <c r="O1534" i="21"/>
  <c r="O1533" i="21"/>
  <c r="O1532" i="21"/>
  <c r="O1531" i="21"/>
  <c r="O1530" i="21"/>
  <c r="O1529" i="21"/>
  <c r="O1528" i="21"/>
  <c r="O1527" i="21"/>
  <c r="O1526" i="21"/>
  <c r="N1525" i="21"/>
  <c r="O1525" i="21" s="1"/>
  <c r="K1525" i="21"/>
  <c r="J1525" i="21"/>
  <c r="I1525" i="21"/>
  <c r="O1524" i="21"/>
  <c r="O1523" i="21"/>
  <c r="O1522" i="21"/>
  <c r="O1521" i="21"/>
  <c r="O1520" i="21"/>
  <c r="O1519" i="21"/>
  <c r="O1518" i="21"/>
  <c r="O1517" i="21"/>
  <c r="O1516" i="21"/>
  <c r="O1515" i="21"/>
  <c r="N1513" i="21"/>
  <c r="O1513" i="21" s="1"/>
  <c r="K1513" i="21"/>
  <c r="J1513" i="21"/>
  <c r="I1513" i="21"/>
  <c r="O1512" i="21"/>
  <c r="O1511" i="21"/>
  <c r="O1510" i="21"/>
  <c r="O1509" i="21"/>
  <c r="O1508" i="21"/>
  <c r="O1507" i="21"/>
  <c r="O1506" i="21"/>
  <c r="O1505" i="21"/>
  <c r="O1504" i="21"/>
  <c r="O1503" i="21"/>
  <c r="N1502" i="21"/>
  <c r="K1502" i="21"/>
  <c r="J1502" i="21"/>
  <c r="I1502" i="21"/>
  <c r="O1501" i="21"/>
  <c r="O1500" i="21"/>
  <c r="O1499" i="21"/>
  <c r="O1498" i="21"/>
  <c r="O1497" i="21"/>
  <c r="O1496" i="21"/>
  <c r="O1495" i="21"/>
  <c r="O1494" i="21"/>
  <c r="O1493" i="21"/>
  <c r="O1492" i="21"/>
  <c r="N1491" i="21"/>
  <c r="O1491" i="21" s="1"/>
  <c r="K1491" i="21"/>
  <c r="J1491" i="21"/>
  <c r="I1491" i="21"/>
  <c r="O1490" i="21"/>
  <c r="O1489" i="21"/>
  <c r="O1488" i="21"/>
  <c r="O1487" i="21"/>
  <c r="O1486" i="21"/>
  <c r="O1485" i="21"/>
  <c r="O1484" i="21"/>
  <c r="O1483" i="21"/>
  <c r="O1482" i="21"/>
  <c r="O1481" i="21"/>
  <c r="N1479" i="21"/>
  <c r="O1479" i="21" s="1"/>
  <c r="K1479" i="21"/>
  <c r="J1479" i="21"/>
  <c r="I1479" i="21"/>
  <c r="O1478" i="21"/>
  <c r="O1477" i="21"/>
  <c r="O1476" i="21"/>
  <c r="O1475" i="21"/>
  <c r="O1474" i="21"/>
  <c r="O1473" i="21"/>
  <c r="O1472" i="21"/>
  <c r="O1471" i="21"/>
  <c r="O1470" i="21"/>
  <c r="O1469" i="21"/>
  <c r="N1468" i="21"/>
  <c r="O1468" i="21" s="1"/>
  <c r="K1468" i="21"/>
  <c r="J1468" i="21"/>
  <c r="I1468" i="21"/>
  <c r="O1467" i="21"/>
  <c r="O1466" i="21"/>
  <c r="O1465" i="21"/>
  <c r="O1464" i="21"/>
  <c r="O1463" i="21"/>
  <c r="O1462" i="21"/>
  <c r="O1461" i="21"/>
  <c r="O1460" i="21"/>
  <c r="O1459" i="21"/>
  <c r="O1458" i="21"/>
  <c r="N1457" i="21"/>
  <c r="K1457" i="21"/>
  <c r="J1457" i="21"/>
  <c r="I1457" i="21"/>
  <c r="O1456" i="21"/>
  <c r="O1455" i="21"/>
  <c r="O1454" i="21"/>
  <c r="O1453" i="21"/>
  <c r="O1452" i="21"/>
  <c r="O1451" i="21"/>
  <c r="O1450" i="21"/>
  <c r="O1449" i="21"/>
  <c r="O1448" i="21"/>
  <c r="O1447" i="21"/>
  <c r="V1446" i="21"/>
  <c r="U1446" i="21"/>
  <c r="R1445" i="21"/>
  <c r="N1445" i="21"/>
  <c r="O1445" i="21" s="1"/>
  <c r="K1445" i="21"/>
  <c r="J1445" i="21"/>
  <c r="I1445" i="21"/>
  <c r="V1444" i="21"/>
  <c r="R1444" i="21"/>
  <c r="S1444" i="21" s="1"/>
  <c r="O1444" i="21"/>
  <c r="V1443" i="21"/>
  <c r="R1443" i="21"/>
  <c r="O1443" i="21"/>
  <c r="V1442" i="21"/>
  <c r="R1442" i="21"/>
  <c r="O1442" i="21"/>
  <c r="V1441" i="21"/>
  <c r="R1441" i="21"/>
  <c r="O1441" i="21"/>
  <c r="V1440" i="21"/>
  <c r="R1440" i="21"/>
  <c r="S1440" i="21" s="1"/>
  <c r="O1440" i="21"/>
  <c r="V1439" i="21"/>
  <c r="R1439" i="21"/>
  <c r="O1439" i="21"/>
  <c r="V1438" i="21"/>
  <c r="R1438" i="21"/>
  <c r="S1438" i="21" s="1"/>
  <c r="O1438" i="21"/>
  <c r="V1437" i="21"/>
  <c r="R1437" i="21"/>
  <c r="O1437" i="21"/>
  <c r="V1436" i="21"/>
  <c r="R1436" i="21"/>
  <c r="S1436" i="21" s="1"/>
  <c r="O1436" i="21"/>
  <c r="V1435" i="21"/>
  <c r="R1435" i="21"/>
  <c r="O1435" i="21"/>
  <c r="R1434" i="21"/>
  <c r="N1434" i="21"/>
  <c r="O1434" i="21" s="1"/>
  <c r="K1434" i="21"/>
  <c r="J1434" i="21"/>
  <c r="I1434" i="21"/>
  <c r="V1433" i="21"/>
  <c r="R1433" i="21"/>
  <c r="S1433" i="21" s="1"/>
  <c r="O1433" i="21"/>
  <c r="V1432" i="21"/>
  <c r="R1432" i="21"/>
  <c r="T1432" i="21" s="1"/>
  <c r="O1432" i="21"/>
  <c r="V1431" i="21"/>
  <c r="R1431" i="21"/>
  <c r="O1431" i="21"/>
  <c r="V1430" i="21"/>
  <c r="R1430" i="21"/>
  <c r="O1430" i="21"/>
  <c r="V1429" i="21"/>
  <c r="R1429" i="21"/>
  <c r="O1429" i="21"/>
  <c r="V1428" i="21"/>
  <c r="R1428" i="21"/>
  <c r="O1428" i="21"/>
  <c r="V1427" i="21"/>
  <c r="R1427" i="21"/>
  <c r="S1427" i="21" s="1"/>
  <c r="O1427" i="21"/>
  <c r="V1426" i="21"/>
  <c r="R1426" i="21"/>
  <c r="T1426" i="21" s="1"/>
  <c r="O1426" i="21"/>
  <c r="V1425" i="21"/>
  <c r="R1425" i="21"/>
  <c r="S1425" i="21" s="1"/>
  <c r="O1425" i="21"/>
  <c r="V1424" i="21"/>
  <c r="R1424" i="21"/>
  <c r="T1424" i="21" s="1"/>
  <c r="O1424" i="21"/>
  <c r="R1423" i="21"/>
  <c r="N1423" i="21"/>
  <c r="K1423" i="21"/>
  <c r="J1423" i="21"/>
  <c r="I1423" i="21"/>
  <c r="V1422" i="21"/>
  <c r="R1422" i="21"/>
  <c r="T1422" i="21" s="1"/>
  <c r="O1422" i="21"/>
  <c r="V1421" i="21"/>
  <c r="R1421" i="21"/>
  <c r="T1421" i="21" s="1"/>
  <c r="O1421" i="21"/>
  <c r="V1420" i="21"/>
  <c r="R1420" i="21"/>
  <c r="T1420" i="21" s="1"/>
  <c r="O1420" i="21"/>
  <c r="V1419" i="21"/>
  <c r="R1419" i="21"/>
  <c r="T1419" i="21" s="1"/>
  <c r="O1419" i="21"/>
  <c r="V1418" i="21"/>
  <c r="R1418" i="21"/>
  <c r="T1418" i="21" s="1"/>
  <c r="O1418" i="21"/>
  <c r="V1417" i="21"/>
  <c r="R1417" i="21"/>
  <c r="T1417" i="21" s="1"/>
  <c r="O1417" i="21"/>
  <c r="V1416" i="21"/>
  <c r="R1416" i="21"/>
  <c r="T1416" i="21" s="1"/>
  <c r="O1416" i="21"/>
  <c r="V1415" i="21"/>
  <c r="R1415" i="21"/>
  <c r="T1415" i="21" s="1"/>
  <c r="O1415" i="21"/>
  <c r="V1414" i="21"/>
  <c r="R1414" i="21"/>
  <c r="T1414" i="21" s="1"/>
  <c r="O1414" i="21"/>
  <c r="V1413" i="21"/>
  <c r="R1413" i="21"/>
  <c r="T1413" i="21" s="1"/>
  <c r="O1413" i="21"/>
  <c r="M1411" i="21"/>
  <c r="M1410" i="21"/>
  <c r="N1408" i="21"/>
  <c r="N1411" i="21" s="1"/>
  <c r="O1411" i="21" s="1"/>
  <c r="K1408" i="21"/>
  <c r="K1411" i="21" s="1"/>
  <c r="J1408" i="21"/>
  <c r="J1411" i="21" s="1"/>
  <c r="I1408" i="21"/>
  <c r="I1411" i="21" s="1"/>
  <c r="O1407" i="21"/>
  <c r="O1406" i="21"/>
  <c r="O1405" i="21"/>
  <c r="O1404" i="21"/>
  <c r="O1403" i="21"/>
  <c r="O1402" i="21"/>
  <c r="O1401" i="21"/>
  <c r="O1400" i="21"/>
  <c r="O1399" i="21"/>
  <c r="O1398" i="21"/>
  <c r="O1397" i="21"/>
  <c r="O1396" i="21"/>
  <c r="O1395" i="21"/>
  <c r="O1394" i="21"/>
  <c r="O1393" i="21"/>
  <c r="O1392" i="21"/>
  <c r="O1391" i="21"/>
  <c r="O1390" i="21"/>
  <c r="O1389" i="21"/>
  <c r="N1388" i="21"/>
  <c r="O1388" i="21" s="1"/>
  <c r="K1388" i="21"/>
  <c r="K1410" i="21" s="1"/>
  <c r="J1388" i="21"/>
  <c r="J1410" i="21" s="1"/>
  <c r="I1388" i="21"/>
  <c r="I1410" i="21" s="1"/>
  <c r="O1387" i="21"/>
  <c r="O1386" i="21"/>
  <c r="O1385" i="21"/>
  <c r="O1384" i="21"/>
  <c r="O1383" i="21"/>
  <c r="O1382" i="21"/>
  <c r="O1381" i="21"/>
  <c r="O1380" i="21"/>
  <c r="O1379" i="21"/>
  <c r="O1378" i="21"/>
  <c r="O1377" i="21"/>
  <c r="O1376" i="21"/>
  <c r="N1375" i="21"/>
  <c r="O1375" i="21" s="1"/>
  <c r="K1375" i="21"/>
  <c r="K1409" i="21" s="1"/>
  <c r="J1375" i="21"/>
  <c r="J1409" i="21" s="1"/>
  <c r="I1375" i="21"/>
  <c r="I1409" i="21" s="1"/>
  <c r="O1374" i="21"/>
  <c r="O1373" i="21"/>
  <c r="O1372" i="21"/>
  <c r="O1371" i="21"/>
  <c r="O1370" i="21"/>
  <c r="O1369" i="21"/>
  <c r="O1368" i="21"/>
  <c r="O1367" i="21"/>
  <c r="O1366" i="21"/>
  <c r="O1365" i="21"/>
  <c r="O1364" i="21"/>
  <c r="O1363" i="21"/>
  <c r="O1362" i="21"/>
  <c r="O1361" i="21"/>
  <c r="O1360" i="21"/>
  <c r="O1359" i="21"/>
  <c r="O1358" i="21"/>
  <c r="O1357" i="21"/>
  <c r="O1356" i="21"/>
  <c r="O1355" i="21"/>
  <c r="O1354" i="21"/>
  <c r="O1353" i="21"/>
  <c r="O1352" i="21"/>
  <c r="O1351" i="21"/>
  <c r="O1350" i="21"/>
  <c r="O1349" i="21"/>
  <c r="O1348" i="21"/>
  <c r="O1347" i="21"/>
  <c r="M1345" i="21"/>
  <c r="M1344" i="21"/>
  <c r="N1342" i="21"/>
  <c r="N1345" i="21" s="1"/>
  <c r="O1345" i="21" s="1"/>
  <c r="K1342" i="21"/>
  <c r="K1345" i="21" s="1"/>
  <c r="J1342" i="21"/>
  <c r="J1345" i="21" s="1"/>
  <c r="I1342" i="21"/>
  <c r="I1345" i="21" s="1"/>
  <c r="O1341" i="21"/>
  <c r="O1340" i="21"/>
  <c r="O1339" i="21"/>
  <c r="O1338" i="21"/>
  <c r="O1337" i="21"/>
  <c r="O1336" i="21"/>
  <c r="O1335" i="21"/>
  <c r="O1334" i="21"/>
  <c r="O1333" i="21"/>
  <c r="O1332" i="21"/>
  <c r="O1331" i="21"/>
  <c r="O1330" i="21"/>
  <c r="O1329" i="21"/>
  <c r="O1328" i="21"/>
  <c r="O1327" i="21"/>
  <c r="O1326" i="21"/>
  <c r="O1325" i="21"/>
  <c r="O1324" i="21"/>
  <c r="O1323" i="21"/>
  <c r="N1322" i="21"/>
  <c r="N1344" i="21" s="1"/>
  <c r="O1344" i="21" s="1"/>
  <c r="K1322" i="21"/>
  <c r="K1344" i="21" s="1"/>
  <c r="J1322" i="21"/>
  <c r="J1344" i="21" s="1"/>
  <c r="I1322" i="21"/>
  <c r="I1344" i="21" s="1"/>
  <c r="O1321" i="21"/>
  <c r="O1320" i="21"/>
  <c r="O1319" i="21"/>
  <c r="O1318" i="21"/>
  <c r="O1317" i="21"/>
  <c r="O1316" i="21"/>
  <c r="O1315" i="21"/>
  <c r="O1314" i="21"/>
  <c r="O1313" i="21"/>
  <c r="O1312" i="21"/>
  <c r="O1311" i="21"/>
  <c r="O1310" i="21"/>
  <c r="N1309" i="21"/>
  <c r="O1309" i="21" s="1"/>
  <c r="K1309" i="21"/>
  <c r="K1343" i="21" s="1"/>
  <c r="I1309" i="21"/>
  <c r="I1343" i="21" s="1"/>
  <c r="O1308" i="21"/>
  <c r="P1308" i="21" s="1"/>
  <c r="Q1308" i="21" s="1"/>
  <c r="J1308" i="21"/>
  <c r="O1307" i="21"/>
  <c r="P1307" i="21" s="1"/>
  <c r="Q1307" i="21" s="1"/>
  <c r="J1307" i="21"/>
  <c r="O1306" i="21"/>
  <c r="P1306" i="21" s="1"/>
  <c r="Q1306" i="21" s="1"/>
  <c r="J1306" i="21"/>
  <c r="O1305" i="21"/>
  <c r="P1305" i="21" s="1"/>
  <c r="Q1305" i="21" s="1"/>
  <c r="J1305" i="21"/>
  <c r="O1304" i="21"/>
  <c r="P1304" i="21" s="1"/>
  <c r="Q1304" i="21" s="1"/>
  <c r="J1304" i="21"/>
  <c r="O1303" i="21"/>
  <c r="P1303" i="21" s="1"/>
  <c r="Q1303" i="21" s="1"/>
  <c r="J1303" i="21"/>
  <c r="O1302" i="21"/>
  <c r="P1302" i="21" s="1"/>
  <c r="Q1302" i="21" s="1"/>
  <c r="J1302" i="21"/>
  <c r="O1301" i="21"/>
  <c r="P1301" i="21" s="1"/>
  <c r="Q1301" i="21" s="1"/>
  <c r="J1301" i="21"/>
  <c r="O1300" i="21"/>
  <c r="P1300" i="21" s="1"/>
  <c r="Q1300" i="21" s="1"/>
  <c r="J1300" i="21"/>
  <c r="O1299" i="21"/>
  <c r="P1299" i="21" s="1"/>
  <c r="Q1299" i="21" s="1"/>
  <c r="J1299" i="21"/>
  <c r="O1298" i="21"/>
  <c r="P1298" i="21" s="1"/>
  <c r="Q1298" i="21" s="1"/>
  <c r="J1298" i="21"/>
  <c r="O1297" i="21"/>
  <c r="P1297" i="21" s="1"/>
  <c r="Q1297" i="21" s="1"/>
  <c r="J1297" i="21"/>
  <c r="O1296" i="21"/>
  <c r="P1296" i="21" s="1"/>
  <c r="Q1296" i="21" s="1"/>
  <c r="J1296" i="21"/>
  <c r="O1295" i="21"/>
  <c r="P1295" i="21" s="1"/>
  <c r="Q1295" i="21" s="1"/>
  <c r="J1295" i="21"/>
  <c r="O1294" i="21"/>
  <c r="P1294" i="21" s="1"/>
  <c r="Q1294" i="21" s="1"/>
  <c r="J1294" i="21"/>
  <c r="O1293" i="21"/>
  <c r="P1293" i="21" s="1"/>
  <c r="Q1293" i="21" s="1"/>
  <c r="J1293" i="21"/>
  <c r="O1292" i="21"/>
  <c r="P1292" i="21" s="1"/>
  <c r="Q1292" i="21" s="1"/>
  <c r="J1292" i="21"/>
  <c r="O1291" i="21"/>
  <c r="P1291" i="21" s="1"/>
  <c r="Q1291" i="21" s="1"/>
  <c r="J1291" i="21"/>
  <c r="O1290" i="21"/>
  <c r="P1290" i="21" s="1"/>
  <c r="Q1290" i="21" s="1"/>
  <c r="J1290" i="21"/>
  <c r="O1289" i="21"/>
  <c r="P1289" i="21" s="1"/>
  <c r="Q1289" i="21" s="1"/>
  <c r="J1289" i="21"/>
  <c r="O1288" i="21"/>
  <c r="P1288" i="21" s="1"/>
  <c r="Q1288" i="21" s="1"/>
  <c r="J1288" i="21"/>
  <c r="O1287" i="21"/>
  <c r="P1287" i="21" s="1"/>
  <c r="Q1287" i="21" s="1"/>
  <c r="J1287" i="21"/>
  <c r="O1286" i="21"/>
  <c r="J1286" i="21"/>
  <c r="O1285" i="21"/>
  <c r="P1285" i="21" s="1"/>
  <c r="Q1285" i="21" s="1"/>
  <c r="J1285" i="21"/>
  <c r="O1284" i="21"/>
  <c r="P1284" i="21" s="1"/>
  <c r="Q1284" i="21" s="1"/>
  <c r="J1284" i="21"/>
  <c r="O1283" i="21"/>
  <c r="P1283" i="21" s="1"/>
  <c r="Q1283" i="21" s="1"/>
  <c r="J1283" i="21"/>
  <c r="O1282" i="21"/>
  <c r="P1282" i="21" s="1"/>
  <c r="Q1282" i="21" s="1"/>
  <c r="J1282" i="21"/>
  <c r="O1281" i="21"/>
  <c r="P1281" i="21" s="1"/>
  <c r="Q1281" i="21" s="1"/>
  <c r="J1281" i="21"/>
  <c r="N1278" i="21"/>
  <c r="O1278" i="21" s="1"/>
  <c r="K1278" i="21"/>
  <c r="J1278" i="21"/>
  <c r="I1278" i="21"/>
  <c r="O1277" i="21"/>
  <c r="O1276" i="21"/>
  <c r="O1275" i="21"/>
  <c r="O1274" i="21"/>
  <c r="O1273" i="21"/>
  <c r="O1272" i="21"/>
  <c r="O1271" i="21"/>
  <c r="O1270" i="21"/>
  <c r="O1269" i="21"/>
  <c r="O1268" i="21"/>
  <c r="N1267" i="21"/>
  <c r="K1267" i="21"/>
  <c r="J1267" i="21"/>
  <c r="I1267" i="21"/>
  <c r="O1266" i="21"/>
  <c r="O1265" i="21"/>
  <c r="O1264" i="21"/>
  <c r="O1263" i="21"/>
  <c r="O1262" i="21"/>
  <c r="O1261" i="21"/>
  <c r="O1260" i="21"/>
  <c r="O1259" i="21"/>
  <c r="O1258" i="21"/>
  <c r="O1257" i="21"/>
  <c r="N1255" i="21"/>
  <c r="O1255" i="21" s="1"/>
  <c r="K1255" i="21"/>
  <c r="J1255" i="21"/>
  <c r="I1255" i="21"/>
  <c r="O1254" i="21"/>
  <c r="O1253" i="21"/>
  <c r="O1252" i="21"/>
  <c r="O1251" i="21"/>
  <c r="O1250" i="21"/>
  <c r="O1249" i="21"/>
  <c r="O1248" i="21"/>
  <c r="O1247" i="21"/>
  <c r="O1246" i="21"/>
  <c r="O1245" i="21"/>
  <c r="N1244" i="21"/>
  <c r="O1244" i="21" s="1"/>
  <c r="K1244" i="21"/>
  <c r="J1244" i="21"/>
  <c r="I1244" i="21"/>
  <c r="O1243" i="21"/>
  <c r="O1242" i="21"/>
  <c r="O1241" i="21"/>
  <c r="O1240" i="21"/>
  <c r="O1239" i="21"/>
  <c r="O1238" i="21"/>
  <c r="O1237" i="21"/>
  <c r="O1236" i="21"/>
  <c r="O1235" i="21"/>
  <c r="O1234" i="21"/>
  <c r="N1233" i="21"/>
  <c r="O1233" i="21" s="1"/>
  <c r="K1233" i="21"/>
  <c r="J1233" i="21"/>
  <c r="I1233" i="21"/>
  <c r="O1232" i="21"/>
  <c r="O1231" i="21"/>
  <c r="O1230" i="21"/>
  <c r="O1229" i="21"/>
  <c r="O1228" i="21"/>
  <c r="O1227" i="21"/>
  <c r="O1226" i="21"/>
  <c r="O1225" i="21"/>
  <c r="O1224" i="21"/>
  <c r="O1223" i="21"/>
  <c r="V1222" i="21"/>
  <c r="U1222" i="21"/>
  <c r="S1221" i="21"/>
  <c r="R1221" i="21"/>
  <c r="N1221" i="21"/>
  <c r="O1221" i="21" s="1"/>
  <c r="J1221" i="21"/>
  <c r="I1221" i="21"/>
  <c r="R1220" i="21"/>
  <c r="K1220" i="21" s="1"/>
  <c r="O1220" i="21"/>
  <c r="R1219" i="21"/>
  <c r="T1219" i="21" s="1"/>
  <c r="W1219" i="21" s="1"/>
  <c r="X1219" i="21" s="1"/>
  <c r="O1219" i="21"/>
  <c r="R1218" i="21"/>
  <c r="O1218" i="21"/>
  <c r="R1217" i="21"/>
  <c r="T1217" i="21" s="1"/>
  <c r="W1217" i="21" s="1"/>
  <c r="X1217" i="21" s="1"/>
  <c r="O1217" i="21"/>
  <c r="R1216" i="21"/>
  <c r="K1216" i="21" s="1"/>
  <c r="O1216" i="21"/>
  <c r="R1215" i="21"/>
  <c r="K1215" i="21" s="1"/>
  <c r="O1215" i="21"/>
  <c r="R1214" i="21"/>
  <c r="O1214" i="21"/>
  <c r="R1213" i="21"/>
  <c r="T1213" i="21" s="1"/>
  <c r="W1213" i="21" s="1"/>
  <c r="X1213" i="21" s="1"/>
  <c r="O1213" i="21"/>
  <c r="R1212" i="21"/>
  <c r="K1212" i="21" s="1"/>
  <c r="O1212" i="21"/>
  <c r="R1211" i="21"/>
  <c r="O1211" i="21"/>
  <c r="S1210" i="21"/>
  <c r="R1210" i="21"/>
  <c r="N1210" i="21"/>
  <c r="O1210" i="21" s="1"/>
  <c r="J1210" i="21"/>
  <c r="I1210" i="21"/>
  <c r="R1209" i="21"/>
  <c r="T1209" i="21" s="1"/>
  <c r="W1209" i="21" s="1"/>
  <c r="X1209" i="21" s="1"/>
  <c r="O1209" i="21"/>
  <c r="R1208" i="21"/>
  <c r="O1208" i="21"/>
  <c r="R1207" i="21"/>
  <c r="T1207" i="21" s="1"/>
  <c r="W1207" i="21" s="1"/>
  <c r="X1207" i="21" s="1"/>
  <c r="O1207" i="21"/>
  <c r="R1206" i="21"/>
  <c r="O1206" i="21"/>
  <c r="R1205" i="21"/>
  <c r="T1205" i="21" s="1"/>
  <c r="W1205" i="21" s="1"/>
  <c r="X1205" i="21" s="1"/>
  <c r="O1205" i="21"/>
  <c r="R1204" i="21"/>
  <c r="O1204" i="21"/>
  <c r="R1203" i="21"/>
  <c r="K1203" i="21" s="1"/>
  <c r="O1203" i="21"/>
  <c r="R1202" i="21"/>
  <c r="T1202" i="21" s="1"/>
  <c r="W1202" i="21" s="1"/>
  <c r="X1202" i="21" s="1"/>
  <c r="O1202" i="21"/>
  <c r="R1201" i="21"/>
  <c r="T1201" i="21" s="1"/>
  <c r="W1201" i="21" s="1"/>
  <c r="X1201" i="21" s="1"/>
  <c r="O1201" i="21"/>
  <c r="R1200" i="21"/>
  <c r="O1200" i="21"/>
  <c r="S1199" i="21"/>
  <c r="R1199" i="21"/>
  <c r="N1199" i="21"/>
  <c r="O1199" i="21" s="1"/>
  <c r="J1199" i="21"/>
  <c r="I1199" i="21"/>
  <c r="R1198" i="21"/>
  <c r="K1198" i="21" s="1"/>
  <c r="O1198" i="21"/>
  <c r="R1197" i="21"/>
  <c r="T1197" i="21" s="1"/>
  <c r="W1197" i="21" s="1"/>
  <c r="X1197" i="21" s="1"/>
  <c r="O1197" i="21"/>
  <c r="R1196" i="21"/>
  <c r="T1196" i="21" s="1"/>
  <c r="W1196" i="21" s="1"/>
  <c r="X1196" i="21" s="1"/>
  <c r="O1196" i="21"/>
  <c r="R1195" i="21"/>
  <c r="T1195" i="21" s="1"/>
  <c r="W1195" i="21" s="1"/>
  <c r="X1195" i="21" s="1"/>
  <c r="O1195" i="21"/>
  <c r="R1194" i="21"/>
  <c r="K1194" i="21" s="1"/>
  <c r="O1194" i="21"/>
  <c r="R1193" i="21"/>
  <c r="T1193" i="21" s="1"/>
  <c r="W1193" i="21" s="1"/>
  <c r="X1193" i="21" s="1"/>
  <c r="O1193" i="21"/>
  <c r="R1192" i="21"/>
  <c r="T1192" i="21" s="1"/>
  <c r="W1192" i="21" s="1"/>
  <c r="X1192" i="21" s="1"/>
  <c r="O1192" i="21"/>
  <c r="R1191" i="21"/>
  <c r="O1191" i="21"/>
  <c r="R1190" i="21"/>
  <c r="K1190" i="21" s="1"/>
  <c r="O1190" i="21"/>
  <c r="R1189" i="21"/>
  <c r="T1189" i="21" s="1"/>
  <c r="O1189" i="21"/>
  <c r="V1188" i="21"/>
  <c r="U1188" i="21"/>
  <c r="R1187" i="21"/>
  <c r="N1187" i="21"/>
  <c r="O1187" i="21" s="1"/>
  <c r="J1187" i="21"/>
  <c r="I1187" i="21"/>
  <c r="V1186" i="21"/>
  <c r="R1186" i="21"/>
  <c r="O1186" i="21"/>
  <c r="V1185" i="21"/>
  <c r="R1185" i="21"/>
  <c r="T1185" i="21" s="1"/>
  <c r="O1185" i="21"/>
  <c r="V1184" i="21"/>
  <c r="R1184" i="21"/>
  <c r="T1184" i="21" s="1"/>
  <c r="O1184" i="21"/>
  <c r="V1183" i="21"/>
  <c r="R1183" i="21"/>
  <c r="O1183" i="21"/>
  <c r="V1182" i="21"/>
  <c r="R1182" i="21"/>
  <c r="S1182" i="21" s="1"/>
  <c r="O1182" i="21"/>
  <c r="V1181" i="21"/>
  <c r="R1181" i="21"/>
  <c r="T1181" i="21" s="1"/>
  <c r="O1181" i="21"/>
  <c r="V1180" i="21"/>
  <c r="R1180" i="21"/>
  <c r="S1180" i="21" s="1"/>
  <c r="O1180" i="21"/>
  <c r="V1179" i="21"/>
  <c r="R1179" i="21"/>
  <c r="T1179" i="21" s="1"/>
  <c r="O1179" i="21"/>
  <c r="V1178" i="21"/>
  <c r="R1178" i="21"/>
  <c r="S1178" i="21" s="1"/>
  <c r="O1178" i="21"/>
  <c r="V1177" i="21"/>
  <c r="R1177" i="21"/>
  <c r="T1177" i="21" s="1"/>
  <c r="O1177" i="21"/>
  <c r="R1176" i="21"/>
  <c r="N1176" i="21"/>
  <c r="O1176" i="21" s="1"/>
  <c r="J1176" i="21"/>
  <c r="I1176" i="21"/>
  <c r="V1175" i="21"/>
  <c r="R1175" i="21"/>
  <c r="T1175" i="21" s="1"/>
  <c r="O1175" i="21"/>
  <c r="V1174" i="21"/>
  <c r="R1174" i="21"/>
  <c r="T1174" i="21" s="1"/>
  <c r="O1174" i="21"/>
  <c r="V1173" i="21"/>
  <c r="R1173" i="21"/>
  <c r="S1173" i="21" s="1"/>
  <c r="O1173" i="21"/>
  <c r="V1172" i="21"/>
  <c r="R1172" i="21"/>
  <c r="S1172" i="21" s="1"/>
  <c r="O1172" i="21"/>
  <c r="V1171" i="21"/>
  <c r="R1171" i="21"/>
  <c r="T1171" i="21" s="1"/>
  <c r="O1171" i="21"/>
  <c r="V1170" i="21"/>
  <c r="R1170" i="21"/>
  <c r="S1170" i="21" s="1"/>
  <c r="O1170" i="21"/>
  <c r="V1169" i="21"/>
  <c r="R1169" i="21"/>
  <c r="S1169" i="21" s="1"/>
  <c r="O1169" i="21"/>
  <c r="V1168" i="21"/>
  <c r="R1168" i="21"/>
  <c r="S1168" i="21" s="1"/>
  <c r="O1168" i="21"/>
  <c r="V1167" i="21"/>
  <c r="R1167" i="21"/>
  <c r="T1167" i="21" s="1"/>
  <c r="O1167" i="21"/>
  <c r="V1166" i="21"/>
  <c r="R1166" i="21"/>
  <c r="T1166" i="21" s="1"/>
  <c r="O1166" i="21"/>
  <c r="R1165" i="21"/>
  <c r="N1165" i="21"/>
  <c r="J1165" i="21"/>
  <c r="I1165" i="21"/>
  <c r="V1164" i="21"/>
  <c r="R1164" i="21"/>
  <c r="O1164" i="21"/>
  <c r="V1163" i="21"/>
  <c r="R1163" i="21"/>
  <c r="T1163" i="21" s="1"/>
  <c r="O1163" i="21"/>
  <c r="V1162" i="21"/>
  <c r="R1162" i="21"/>
  <c r="S1162" i="21" s="1"/>
  <c r="O1162" i="21"/>
  <c r="V1161" i="21"/>
  <c r="R1161" i="21"/>
  <c r="T1161" i="21" s="1"/>
  <c r="O1161" i="21"/>
  <c r="V1160" i="21"/>
  <c r="R1160" i="21"/>
  <c r="T1160" i="21" s="1"/>
  <c r="O1160" i="21"/>
  <c r="V1159" i="21"/>
  <c r="R1159" i="21"/>
  <c r="T1159" i="21" s="1"/>
  <c r="O1159" i="21"/>
  <c r="V1158" i="21"/>
  <c r="R1158" i="21"/>
  <c r="S1158" i="21" s="1"/>
  <c r="O1158" i="21"/>
  <c r="V1157" i="21"/>
  <c r="R1157" i="21"/>
  <c r="T1157" i="21" s="1"/>
  <c r="O1157" i="21"/>
  <c r="V1156" i="21"/>
  <c r="R1156" i="21"/>
  <c r="O1156" i="21"/>
  <c r="V1155" i="21"/>
  <c r="R1155" i="21"/>
  <c r="T1155" i="21" s="1"/>
  <c r="O1155" i="21"/>
  <c r="N1152" i="21"/>
  <c r="O1152" i="21" s="1"/>
  <c r="K1152" i="21"/>
  <c r="J1152" i="21"/>
  <c r="I1152" i="21"/>
  <c r="O1151" i="21"/>
  <c r="O1150" i="21"/>
  <c r="O1149" i="21"/>
  <c r="O1148" i="21"/>
  <c r="O1147" i="21"/>
  <c r="O1146" i="21"/>
  <c r="O1145" i="21"/>
  <c r="O1144" i="21"/>
  <c r="O1143" i="21"/>
  <c r="O1142" i="21"/>
  <c r="N1141" i="21"/>
  <c r="O1141" i="21" s="1"/>
  <c r="K1141" i="21"/>
  <c r="J1141" i="21"/>
  <c r="I1141" i="21"/>
  <c r="O1140" i="21"/>
  <c r="O1139" i="21"/>
  <c r="O1138" i="21"/>
  <c r="O1137" i="21"/>
  <c r="O1136" i="21"/>
  <c r="O1135" i="21"/>
  <c r="O1134" i="21"/>
  <c r="O1133" i="21"/>
  <c r="O1132" i="21"/>
  <c r="O1131" i="21"/>
  <c r="N1129" i="21"/>
  <c r="O1129" i="21" s="1"/>
  <c r="K1129" i="21"/>
  <c r="J1129" i="21"/>
  <c r="I1129" i="21"/>
  <c r="O1128" i="21"/>
  <c r="O1127" i="21"/>
  <c r="O1126" i="21"/>
  <c r="O1125" i="21"/>
  <c r="O1124" i="21"/>
  <c r="O1123" i="21"/>
  <c r="O1122" i="21"/>
  <c r="O1121" i="21"/>
  <c r="O1120" i="21"/>
  <c r="O1119" i="21"/>
  <c r="N1118" i="21"/>
  <c r="O1118" i="21" s="1"/>
  <c r="K1118" i="21"/>
  <c r="J1118" i="21"/>
  <c r="I1118" i="21"/>
  <c r="O1117" i="21"/>
  <c r="O1116" i="21"/>
  <c r="O1115" i="21"/>
  <c r="O1114" i="21"/>
  <c r="O1113" i="21"/>
  <c r="O1112" i="21"/>
  <c r="O1111" i="21"/>
  <c r="O1110" i="21"/>
  <c r="O1109" i="21"/>
  <c r="O1108" i="21"/>
  <c r="N1107" i="21"/>
  <c r="O1107" i="21" s="1"/>
  <c r="K1107" i="21"/>
  <c r="J1107" i="21"/>
  <c r="I1107" i="21"/>
  <c r="O1106" i="21"/>
  <c r="O1105" i="21"/>
  <c r="O1104" i="21"/>
  <c r="O1103" i="21"/>
  <c r="O1102" i="21"/>
  <c r="O1101" i="21"/>
  <c r="O1100" i="21"/>
  <c r="O1099" i="21"/>
  <c r="O1098" i="21"/>
  <c r="O1097" i="21"/>
  <c r="N1095" i="21"/>
  <c r="O1095" i="21" s="1"/>
  <c r="K1095" i="21"/>
  <c r="J1095" i="21"/>
  <c r="I1095" i="21"/>
  <c r="O1094" i="21"/>
  <c r="O1093" i="21"/>
  <c r="O1092" i="21"/>
  <c r="O1091" i="21"/>
  <c r="O1090" i="21"/>
  <c r="O1089" i="21"/>
  <c r="O1088" i="21"/>
  <c r="O1087" i="21"/>
  <c r="O1086" i="21"/>
  <c r="O1085" i="21"/>
  <c r="N1084" i="21"/>
  <c r="O1084" i="21" s="1"/>
  <c r="K1084" i="21"/>
  <c r="J1084" i="21"/>
  <c r="I1084" i="21"/>
  <c r="O1083" i="21"/>
  <c r="O1082" i="21"/>
  <c r="O1081" i="21"/>
  <c r="O1080" i="21"/>
  <c r="O1079" i="21"/>
  <c r="O1078" i="21"/>
  <c r="O1077" i="21"/>
  <c r="O1076" i="21"/>
  <c r="O1075" i="21"/>
  <c r="O1074" i="21"/>
  <c r="N1073" i="21"/>
  <c r="O1073" i="21" s="1"/>
  <c r="K1073" i="21"/>
  <c r="J1073" i="21"/>
  <c r="I1073" i="21"/>
  <c r="O1072" i="21"/>
  <c r="O1071" i="21"/>
  <c r="O1070" i="21"/>
  <c r="O1069" i="21"/>
  <c r="O1068" i="21"/>
  <c r="O1067" i="21"/>
  <c r="O1066" i="21"/>
  <c r="O1065" i="21"/>
  <c r="O1064" i="21"/>
  <c r="O1063" i="21"/>
  <c r="V1062" i="21"/>
  <c r="U1062" i="21"/>
  <c r="R1061" i="21"/>
  <c r="N1061" i="21"/>
  <c r="O1061" i="21" s="1"/>
  <c r="K1061" i="21"/>
  <c r="J1061" i="21"/>
  <c r="I1061" i="21"/>
  <c r="V1060" i="21"/>
  <c r="R1060" i="21"/>
  <c r="O1060" i="21"/>
  <c r="V1059" i="21"/>
  <c r="R1059" i="21"/>
  <c r="T1059" i="21" s="1"/>
  <c r="O1059" i="21"/>
  <c r="V1058" i="21"/>
  <c r="R1058" i="21"/>
  <c r="T1058" i="21" s="1"/>
  <c r="O1058" i="21"/>
  <c r="V1057" i="21"/>
  <c r="R1057" i="21"/>
  <c r="S1057" i="21" s="1"/>
  <c r="O1057" i="21"/>
  <c r="V1056" i="21"/>
  <c r="R1056" i="21"/>
  <c r="O1056" i="21"/>
  <c r="V1055" i="21"/>
  <c r="R1055" i="21"/>
  <c r="T1055" i="21" s="1"/>
  <c r="O1055" i="21"/>
  <c r="V1054" i="21"/>
  <c r="R1054" i="21"/>
  <c r="T1054" i="21" s="1"/>
  <c r="O1054" i="21"/>
  <c r="V1053" i="21"/>
  <c r="R1053" i="21"/>
  <c r="S1053" i="21" s="1"/>
  <c r="O1053" i="21"/>
  <c r="V1052" i="21"/>
  <c r="R1052" i="21"/>
  <c r="O1052" i="21"/>
  <c r="V1051" i="21"/>
  <c r="R1051" i="21"/>
  <c r="T1051" i="21" s="1"/>
  <c r="O1051" i="21"/>
  <c r="R1050" i="21"/>
  <c r="N1050" i="21"/>
  <c r="O1050" i="21" s="1"/>
  <c r="K1050" i="21"/>
  <c r="J1050" i="21"/>
  <c r="I1050" i="21"/>
  <c r="V1049" i="21"/>
  <c r="R1049" i="21"/>
  <c r="S1049" i="21" s="1"/>
  <c r="O1049" i="21"/>
  <c r="V1048" i="21"/>
  <c r="R1048" i="21"/>
  <c r="O1048" i="21"/>
  <c r="V1047" i="21"/>
  <c r="R1047" i="21"/>
  <c r="S1047" i="21" s="1"/>
  <c r="O1047" i="21"/>
  <c r="V1046" i="21"/>
  <c r="R1046" i="21"/>
  <c r="T1046" i="21" s="1"/>
  <c r="O1046" i="21"/>
  <c r="V1045" i="21"/>
  <c r="R1045" i="21"/>
  <c r="T1045" i="21" s="1"/>
  <c r="O1045" i="21"/>
  <c r="V1044" i="21"/>
  <c r="R1044" i="21"/>
  <c r="S1044" i="21" s="1"/>
  <c r="O1044" i="21"/>
  <c r="V1043" i="21"/>
  <c r="R1043" i="21"/>
  <c r="T1043" i="21" s="1"/>
  <c r="O1043" i="21"/>
  <c r="V1042" i="21"/>
  <c r="R1042" i="21"/>
  <c r="O1042" i="21"/>
  <c r="V1041" i="21"/>
  <c r="R1041" i="21"/>
  <c r="T1041" i="21" s="1"/>
  <c r="O1041" i="21"/>
  <c r="V1040" i="21"/>
  <c r="R1040" i="21"/>
  <c r="T1040" i="21" s="1"/>
  <c r="O1040" i="21"/>
  <c r="R1039" i="21"/>
  <c r="N1039" i="21"/>
  <c r="O1039" i="21" s="1"/>
  <c r="K1039" i="21"/>
  <c r="J1039" i="21"/>
  <c r="I1039" i="21"/>
  <c r="V1038" i="21"/>
  <c r="R1038" i="21"/>
  <c r="T1038" i="21" s="1"/>
  <c r="O1038" i="21"/>
  <c r="V1037" i="21"/>
  <c r="R1037" i="21"/>
  <c r="T1037" i="21" s="1"/>
  <c r="O1037" i="21"/>
  <c r="V1036" i="21"/>
  <c r="R1036" i="21"/>
  <c r="T1036" i="21" s="1"/>
  <c r="O1036" i="21"/>
  <c r="V1035" i="21"/>
  <c r="R1035" i="21"/>
  <c r="T1035" i="21" s="1"/>
  <c r="O1035" i="21"/>
  <c r="V1034" i="21"/>
  <c r="R1034" i="21"/>
  <c r="T1034" i="21" s="1"/>
  <c r="O1034" i="21"/>
  <c r="V1033" i="21"/>
  <c r="R1033" i="21"/>
  <c r="T1033" i="21" s="1"/>
  <c r="O1033" i="21"/>
  <c r="V1032" i="21"/>
  <c r="R1032" i="21"/>
  <c r="T1032" i="21" s="1"/>
  <c r="O1032" i="21"/>
  <c r="V1031" i="21"/>
  <c r="R1031" i="21"/>
  <c r="T1031" i="21" s="1"/>
  <c r="O1031" i="21"/>
  <c r="V1030" i="21"/>
  <c r="R1030" i="21"/>
  <c r="T1030" i="21" s="1"/>
  <c r="O1030" i="21"/>
  <c r="V1029" i="21"/>
  <c r="R1029" i="21"/>
  <c r="T1029" i="21" s="1"/>
  <c r="O1029" i="21"/>
  <c r="M1027" i="21"/>
  <c r="M1026" i="21"/>
  <c r="N1024" i="21"/>
  <c r="N1027" i="21" s="1"/>
  <c r="O1027" i="21" s="1"/>
  <c r="K1024" i="21"/>
  <c r="K1027" i="21" s="1"/>
  <c r="J1024" i="21"/>
  <c r="J1027" i="21" s="1"/>
  <c r="I1024" i="21"/>
  <c r="I1027" i="21" s="1"/>
  <c r="O1023" i="21"/>
  <c r="O1022" i="21"/>
  <c r="O1021" i="21"/>
  <c r="O1020" i="21"/>
  <c r="O1019" i="21"/>
  <c r="O1018" i="21"/>
  <c r="O1017" i="21"/>
  <c r="O1016" i="21"/>
  <c r="O1015" i="21"/>
  <c r="O1014" i="21"/>
  <c r="O1013" i="21"/>
  <c r="O1012" i="21"/>
  <c r="O1011" i="21"/>
  <c r="O1010" i="21"/>
  <c r="O1009" i="21"/>
  <c r="O1008" i="21"/>
  <c r="O1007" i="21"/>
  <c r="O1006" i="21"/>
  <c r="O1005" i="21"/>
  <c r="N1004" i="21"/>
  <c r="N1026" i="21" s="1"/>
  <c r="O1026" i="21" s="1"/>
  <c r="K1004" i="21"/>
  <c r="K1026" i="21" s="1"/>
  <c r="J1004" i="21"/>
  <c r="J1026" i="21" s="1"/>
  <c r="I1004" i="21"/>
  <c r="I1026" i="21" s="1"/>
  <c r="O1003" i="21"/>
  <c r="O1002" i="21"/>
  <c r="O1001" i="21"/>
  <c r="O1000" i="21"/>
  <c r="O999" i="21"/>
  <c r="O998" i="21"/>
  <c r="O997" i="21"/>
  <c r="O996" i="21"/>
  <c r="O995" i="21"/>
  <c r="O994" i="21"/>
  <c r="O993" i="21"/>
  <c r="O992" i="21"/>
  <c r="N991" i="21"/>
  <c r="O991" i="21" s="1"/>
  <c r="K991" i="21"/>
  <c r="K1025" i="21" s="1"/>
  <c r="J991" i="21"/>
  <c r="J1025" i="21" s="1"/>
  <c r="I991" i="21"/>
  <c r="I1025" i="21" s="1"/>
  <c r="O990" i="21"/>
  <c r="O989" i="21"/>
  <c r="O988" i="21"/>
  <c r="O987" i="21"/>
  <c r="O986" i="21"/>
  <c r="O985" i="21"/>
  <c r="O984" i="21"/>
  <c r="O983" i="21"/>
  <c r="O982" i="21"/>
  <c r="O981" i="21"/>
  <c r="O980" i="21"/>
  <c r="O979" i="21"/>
  <c r="O978" i="21"/>
  <c r="O977" i="21"/>
  <c r="O976" i="21"/>
  <c r="O975" i="21"/>
  <c r="O974" i="21"/>
  <c r="O973" i="21"/>
  <c r="O972" i="21"/>
  <c r="O971" i="21"/>
  <c r="O970" i="21"/>
  <c r="O969" i="21"/>
  <c r="O968" i="21"/>
  <c r="O967" i="21"/>
  <c r="O966" i="21"/>
  <c r="O965" i="21"/>
  <c r="O964" i="21"/>
  <c r="O963" i="21"/>
  <c r="M961" i="21"/>
  <c r="M960" i="21"/>
  <c r="N958" i="21"/>
  <c r="O958" i="21" s="1"/>
  <c r="K958" i="21"/>
  <c r="K961" i="21" s="1"/>
  <c r="J958" i="21"/>
  <c r="J961" i="21" s="1"/>
  <c r="I958" i="21"/>
  <c r="I961" i="21" s="1"/>
  <c r="O957" i="21"/>
  <c r="O956" i="21"/>
  <c r="O955" i="21"/>
  <c r="O954" i="21"/>
  <c r="O953" i="21"/>
  <c r="O952" i="21"/>
  <c r="O951" i="21"/>
  <c r="O950" i="21"/>
  <c r="O949" i="21"/>
  <c r="O948" i="21"/>
  <c r="O947" i="21"/>
  <c r="O946" i="21"/>
  <c r="O945" i="21"/>
  <c r="O944" i="21"/>
  <c r="O943" i="21"/>
  <c r="O942" i="21"/>
  <c r="O941" i="21"/>
  <c r="O940" i="21"/>
  <c r="O939" i="21"/>
  <c r="N938" i="21"/>
  <c r="N960" i="21" s="1"/>
  <c r="O960" i="21" s="1"/>
  <c r="K938" i="21"/>
  <c r="K960" i="21" s="1"/>
  <c r="J938" i="21"/>
  <c r="J960" i="21" s="1"/>
  <c r="I938" i="21"/>
  <c r="I960" i="21" s="1"/>
  <c r="O937" i="21"/>
  <c r="O936" i="21"/>
  <c r="O935" i="21"/>
  <c r="O934" i="21"/>
  <c r="O933" i="21"/>
  <c r="O932" i="21"/>
  <c r="O931" i="21"/>
  <c r="O930" i="21"/>
  <c r="O929" i="21"/>
  <c r="O928" i="21"/>
  <c r="O927" i="21"/>
  <c r="O926" i="21"/>
  <c r="N925" i="21"/>
  <c r="O925" i="21" s="1"/>
  <c r="K925" i="21"/>
  <c r="K959" i="21" s="1"/>
  <c r="I925" i="21"/>
  <c r="I959" i="21" s="1"/>
  <c r="O924" i="21"/>
  <c r="P924" i="21" s="1"/>
  <c r="Q924" i="21" s="1"/>
  <c r="J924" i="21"/>
  <c r="O923" i="21"/>
  <c r="P923" i="21" s="1"/>
  <c r="Q923" i="21" s="1"/>
  <c r="J923" i="21"/>
  <c r="O922" i="21"/>
  <c r="P922" i="21" s="1"/>
  <c r="Q922" i="21" s="1"/>
  <c r="J922" i="21"/>
  <c r="O921" i="21"/>
  <c r="P921" i="21" s="1"/>
  <c r="Q921" i="21" s="1"/>
  <c r="J921" i="21"/>
  <c r="O920" i="21"/>
  <c r="P920" i="21" s="1"/>
  <c r="Q920" i="21" s="1"/>
  <c r="J920" i="21"/>
  <c r="O919" i="21"/>
  <c r="P919" i="21" s="1"/>
  <c r="Q919" i="21" s="1"/>
  <c r="J919" i="21"/>
  <c r="O918" i="21"/>
  <c r="P918" i="21" s="1"/>
  <c r="Q918" i="21" s="1"/>
  <c r="J918" i="21"/>
  <c r="O917" i="21"/>
  <c r="P917" i="21" s="1"/>
  <c r="Q917" i="21" s="1"/>
  <c r="J917" i="21"/>
  <c r="O916" i="21"/>
  <c r="P916" i="21" s="1"/>
  <c r="Q916" i="21" s="1"/>
  <c r="J916" i="21"/>
  <c r="O915" i="21"/>
  <c r="P915" i="21" s="1"/>
  <c r="Q915" i="21" s="1"/>
  <c r="J915" i="21"/>
  <c r="O914" i="21"/>
  <c r="P914" i="21" s="1"/>
  <c r="Q914" i="21" s="1"/>
  <c r="J914" i="21"/>
  <c r="O913" i="21"/>
  <c r="P913" i="21" s="1"/>
  <c r="Q913" i="21" s="1"/>
  <c r="J913" i="21"/>
  <c r="O912" i="21"/>
  <c r="P912" i="21" s="1"/>
  <c r="Q912" i="21" s="1"/>
  <c r="J912" i="21"/>
  <c r="O911" i="21"/>
  <c r="P911" i="21" s="1"/>
  <c r="Q911" i="21" s="1"/>
  <c r="J911" i="21"/>
  <c r="O910" i="21"/>
  <c r="P910" i="21" s="1"/>
  <c r="Q910" i="21" s="1"/>
  <c r="J910" i="21"/>
  <c r="O909" i="21"/>
  <c r="P909" i="21" s="1"/>
  <c r="Q909" i="21" s="1"/>
  <c r="J909" i="21"/>
  <c r="O908" i="21"/>
  <c r="P908" i="21" s="1"/>
  <c r="Q908" i="21" s="1"/>
  <c r="J908" i="21"/>
  <c r="O907" i="21"/>
  <c r="P907" i="21" s="1"/>
  <c r="Q907" i="21" s="1"/>
  <c r="J907" i="21"/>
  <c r="O906" i="21"/>
  <c r="P906" i="21" s="1"/>
  <c r="Q906" i="21" s="1"/>
  <c r="J906" i="21"/>
  <c r="O905" i="21"/>
  <c r="P905" i="21" s="1"/>
  <c r="Q905" i="21" s="1"/>
  <c r="J905" i="21"/>
  <c r="O904" i="21"/>
  <c r="P904" i="21" s="1"/>
  <c r="Q904" i="21" s="1"/>
  <c r="J904" i="21"/>
  <c r="O903" i="21"/>
  <c r="P903" i="21" s="1"/>
  <c r="Q903" i="21" s="1"/>
  <c r="J903" i="21"/>
  <c r="O902" i="21"/>
  <c r="J902" i="21"/>
  <c r="O901" i="21"/>
  <c r="P901" i="21" s="1"/>
  <c r="Q901" i="21" s="1"/>
  <c r="J901" i="21"/>
  <c r="O900" i="21"/>
  <c r="P900" i="21" s="1"/>
  <c r="Q900" i="21" s="1"/>
  <c r="J900" i="21"/>
  <c r="O899" i="21"/>
  <c r="P899" i="21" s="1"/>
  <c r="Q899" i="21" s="1"/>
  <c r="J899" i="21"/>
  <c r="O898" i="21"/>
  <c r="P898" i="21" s="1"/>
  <c r="Q898" i="21" s="1"/>
  <c r="J898" i="21"/>
  <c r="O897" i="21"/>
  <c r="P897" i="21" s="1"/>
  <c r="Q897" i="21" s="1"/>
  <c r="J897" i="21"/>
  <c r="N894" i="21"/>
  <c r="O894" i="21" s="1"/>
  <c r="K894" i="21"/>
  <c r="J894" i="21"/>
  <c r="I894" i="21"/>
  <c r="O893" i="21"/>
  <c r="O892" i="21"/>
  <c r="O891" i="21"/>
  <c r="O890" i="21"/>
  <c r="O889" i="21"/>
  <c r="O888" i="21"/>
  <c r="O887" i="21"/>
  <c r="O886" i="21"/>
  <c r="O885" i="21"/>
  <c r="O884" i="21"/>
  <c r="N883" i="21"/>
  <c r="K883" i="21"/>
  <c r="J883" i="21"/>
  <c r="I883" i="21"/>
  <c r="O882" i="21"/>
  <c r="O881" i="21"/>
  <c r="O880" i="21"/>
  <c r="O879" i="21"/>
  <c r="O878" i="21"/>
  <c r="O877" i="21"/>
  <c r="O876" i="21"/>
  <c r="O875" i="21"/>
  <c r="O874" i="21"/>
  <c r="O873" i="21"/>
  <c r="N871" i="21"/>
  <c r="O871" i="21" s="1"/>
  <c r="K871" i="21"/>
  <c r="J871" i="21"/>
  <c r="I871" i="21"/>
  <c r="O870" i="21"/>
  <c r="O869" i="21"/>
  <c r="O868" i="21"/>
  <c r="O867" i="21"/>
  <c r="O866" i="21"/>
  <c r="O865" i="21"/>
  <c r="O864" i="21"/>
  <c r="O863" i="21"/>
  <c r="O862" i="21"/>
  <c r="O861" i="21"/>
  <c r="N860" i="21"/>
  <c r="O860" i="21" s="1"/>
  <c r="K860" i="21"/>
  <c r="J860" i="21"/>
  <c r="I860" i="21"/>
  <c r="O859" i="21"/>
  <c r="O858" i="21"/>
  <c r="O857" i="21"/>
  <c r="O856" i="21"/>
  <c r="O855" i="21"/>
  <c r="O854" i="21"/>
  <c r="O853" i="21"/>
  <c r="O852" i="21"/>
  <c r="O851" i="21"/>
  <c r="O850" i="21"/>
  <c r="N849" i="21"/>
  <c r="O849" i="21" s="1"/>
  <c r="K849" i="21"/>
  <c r="J849" i="21"/>
  <c r="I849" i="21"/>
  <c r="O848" i="21"/>
  <c r="O847" i="21"/>
  <c r="O846" i="21"/>
  <c r="O845" i="21"/>
  <c r="O844" i="21"/>
  <c r="O843" i="21"/>
  <c r="O842" i="21"/>
  <c r="O841" i="21"/>
  <c r="O840" i="21"/>
  <c r="O839" i="21"/>
  <c r="V838" i="21"/>
  <c r="U838" i="21"/>
  <c r="S837" i="21"/>
  <c r="R837" i="21"/>
  <c r="N837" i="21"/>
  <c r="O837" i="21" s="1"/>
  <c r="J837" i="21"/>
  <c r="I837" i="21"/>
  <c r="R836" i="21"/>
  <c r="O836" i="21"/>
  <c r="R835" i="21"/>
  <c r="O835" i="21"/>
  <c r="R834" i="21"/>
  <c r="O834" i="21"/>
  <c r="R833" i="21"/>
  <c r="K833" i="21" s="1"/>
  <c r="O833" i="21"/>
  <c r="R832" i="21"/>
  <c r="O832" i="21"/>
  <c r="R831" i="21"/>
  <c r="O831" i="21"/>
  <c r="R830" i="21"/>
  <c r="O830" i="21"/>
  <c r="R829" i="21"/>
  <c r="T829" i="21" s="1"/>
  <c r="W829" i="21" s="1"/>
  <c r="X829" i="21" s="1"/>
  <c r="O829" i="21"/>
  <c r="R828" i="21"/>
  <c r="O828" i="21"/>
  <c r="R827" i="21"/>
  <c r="O827" i="21"/>
  <c r="S826" i="21"/>
  <c r="R826" i="21"/>
  <c r="N826" i="21"/>
  <c r="O826" i="21" s="1"/>
  <c r="J826" i="21"/>
  <c r="I826" i="21"/>
  <c r="R825" i="21"/>
  <c r="K825" i="21" s="1"/>
  <c r="O825" i="21"/>
  <c r="R824" i="21"/>
  <c r="K824" i="21" s="1"/>
  <c r="O824" i="21"/>
  <c r="R823" i="21"/>
  <c r="K823" i="21" s="1"/>
  <c r="O823" i="21"/>
  <c r="R822" i="21"/>
  <c r="T822" i="21" s="1"/>
  <c r="W822" i="21" s="1"/>
  <c r="X822" i="21" s="1"/>
  <c r="O822" i="21"/>
  <c r="R821" i="21"/>
  <c r="K821" i="21" s="1"/>
  <c r="O821" i="21"/>
  <c r="R820" i="21"/>
  <c r="K820" i="21" s="1"/>
  <c r="O820" i="21"/>
  <c r="R819" i="21"/>
  <c r="O819" i="21"/>
  <c r="R818" i="21"/>
  <c r="O818" i="21"/>
  <c r="R817" i="21"/>
  <c r="K817" i="21" s="1"/>
  <c r="O817" i="21"/>
  <c r="R816" i="21"/>
  <c r="T816" i="21" s="1"/>
  <c r="W816" i="21" s="1"/>
  <c r="O816" i="21"/>
  <c r="S815" i="21"/>
  <c r="R815" i="21"/>
  <c r="N815" i="21"/>
  <c r="O815" i="21" s="1"/>
  <c r="J815" i="21"/>
  <c r="I815" i="21"/>
  <c r="R814" i="21"/>
  <c r="K814" i="21" s="1"/>
  <c r="O814" i="21"/>
  <c r="R813" i="21"/>
  <c r="O813" i="21"/>
  <c r="R812" i="21"/>
  <c r="O812" i="21"/>
  <c r="R811" i="21"/>
  <c r="O811" i="21"/>
  <c r="R810" i="21"/>
  <c r="T810" i="21" s="1"/>
  <c r="W810" i="21" s="1"/>
  <c r="X810" i="21" s="1"/>
  <c r="O810" i="21"/>
  <c r="R809" i="21"/>
  <c r="O809" i="21"/>
  <c r="R808" i="21"/>
  <c r="K808" i="21" s="1"/>
  <c r="O808" i="21"/>
  <c r="R807" i="21"/>
  <c r="O807" i="21"/>
  <c r="R806" i="21"/>
  <c r="K806" i="21" s="1"/>
  <c r="O806" i="21"/>
  <c r="R805" i="21"/>
  <c r="O805" i="21"/>
  <c r="V804" i="21"/>
  <c r="U804" i="21"/>
  <c r="R803" i="21"/>
  <c r="N803" i="21"/>
  <c r="O803" i="21" s="1"/>
  <c r="J803" i="21"/>
  <c r="I803" i="21"/>
  <c r="V802" i="21"/>
  <c r="R802" i="21"/>
  <c r="O802" i="21"/>
  <c r="V801" i="21"/>
  <c r="R801" i="21"/>
  <c r="T801" i="21" s="1"/>
  <c r="O801" i="21"/>
  <c r="V800" i="21"/>
  <c r="R800" i="21"/>
  <c r="S800" i="21" s="1"/>
  <c r="O800" i="21"/>
  <c r="V799" i="21"/>
  <c r="R799" i="21"/>
  <c r="S799" i="21" s="1"/>
  <c r="O799" i="21"/>
  <c r="V798" i="21"/>
  <c r="R798" i="21"/>
  <c r="O798" i="21"/>
  <c r="V797" i="21"/>
  <c r="R797" i="21"/>
  <c r="T797" i="21" s="1"/>
  <c r="O797" i="21"/>
  <c r="V796" i="21"/>
  <c r="R796" i="21"/>
  <c r="S796" i="21" s="1"/>
  <c r="O796" i="21"/>
  <c r="V795" i="21"/>
  <c r="R795" i="21"/>
  <c r="S795" i="21" s="1"/>
  <c r="O795" i="21"/>
  <c r="V794" i="21"/>
  <c r="R794" i="21"/>
  <c r="O794" i="21"/>
  <c r="V793" i="21"/>
  <c r="R793" i="21"/>
  <c r="T793" i="21" s="1"/>
  <c r="O793" i="21"/>
  <c r="R792" i="21"/>
  <c r="N792" i="21"/>
  <c r="O792" i="21" s="1"/>
  <c r="J792" i="21"/>
  <c r="I792" i="21"/>
  <c r="V791" i="21"/>
  <c r="R791" i="21"/>
  <c r="T791" i="21" s="1"/>
  <c r="O791" i="21"/>
  <c r="V790" i="21"/>
  <c r="R790" i="21"/>
  <c r="O790" i="21"/>
  <c r="V789" i="21"/>
  <c r="R789" i="21"/>
  <c r="O789" i="21"/>
  <c r="V788" i="21"/>
  <c r="R788" i="21"/>
  <c r="O788" i="21"/>
  <c r="V787" i="21"/>
  <c r="R787" i="21"/>
  <c r="T787" i="21" s="1"/>
  <c r="O787" i="21"/>
  <c r="V786" i="21"/>
  <c r="R786" i="21"/>
  <c r="T786" i="21" s="1"/>
  <c r="O786" i="21"/>
  <c r="V785" i="21"/>
  <c r="R785" i="21"/>
  <c r="S785" i="21" s="1"/>
  <c r="O785" i="21"/>
  <c r="V784" i="21"/>
  <c r="R784" i="21"/>
  <c r="T784" i="21" s="1"/>
  <c r="O784" i="21"/>
  <c r="V783" i="21"/>
  <c r="R783" i="21"/>
  <c r="T783" i="21" s="1"/>
  <c r="O783" i="21"/>
  <c r="V782" i="21"/>
  <c r="R782" i="21"/>
  <c r="T782" i="21" s="1"/>
  <c r="O782" i="21"/>
  <c r="R781" i="21"/>
  <c r="N781" i="21"/>
  <c r="J781" i="21"/>
  <c r="I781" i="21"/>
  <c r="V780" i="21"/>
  <c r="R780" i="21"/>
  <c r="T780" i="21" s="1"/>
  <c r="O780" i="21"/>
  <c r="V779" i="21"/>
  <c r="R779" i="21"/>
  <c r="T779" i="21" s="1"/>
  <c r="O779" i="21"/>
  <c r="V778" i="21"/>
  <c r="R778" i="21"/>
  <c r="T778" i="21" s="1"/>
  <c r="O778" i="21"/>
  <c r="V777" i="21"/>
  <c r="R777" i="21"/>
  <c r="T777" i="21" s="1"/>
  <c r="O777" i="21"/>
  <c r="V776" i="21"/>
  <c r="R776" i="21"/>
  <c r="T776" i="21" s="1"/>
  <c r="O776" i="21"/>
  <c r="V775" i="21"/>
  <c r="R775" i="21"/>
  <c r="T775" i="21" s="1"/>
  <c r="O775" i="21"/>
  <c r="V774" i="21"/>
  <c r="R774" i="21"/>
  <c r="T774" i="21" s="1"/>
  <c r="O774" i="21"/>
  <c r="V773" i="21"/>
  <c r="R773" i="21"/>
  <c r="T773" i="21" s="1"/>
  <c r="O773" i="21"/>
  <c r="V772" i="21"/>
  <c r="R772" i="21"/>
  <c r="S772" i="21" s="1"/>
  <c r="O772" i="21"/>
  <c r="V771" i="21"/>
  <c r="R771" i="21"/>
  <c r="T896" i="21" s="1"/>
  <c r="O771" i="21"/>
  <c r="K256" i="21"/>
  <c r="K293" i="21"/>
  <c r="K271" i="21"/>
  <c r="K236" i="21"/>
  <c r="K157" i="21"/>
  <c r="K190" i="21"/>
  <c r="K223" i="21"/>
  <c r="J677" i="21"/>
  <c r="R645" i="21"/>
  <c r="K640" i="21"/>
  <c r="J607" i="21"/>
  <c r="K607" i="21"/>
  <c r="K574" i="21"/>
  <c r="K541" i="21"/>
  <c r="K499" i="21"/>
  <c r="K487" i="21"/>
  <c r="K476" i="21"/>
  <c r="K465" i="21"/>
  <c r="K453" i="21"/>
  <c r="K442" i="21"/>
  <c r="K431" i="21"/>
  <c r="R3" i="21"/>
  <c r="T3" i="21" s="1"/>
  <c r="V3" i="21"/>
  <c r="R4" i="21"/>
  <c r="S4" i="21" s="1"/>
  <c r="V4" i="21"/>
  <c r="R5" i="21"/>
  <c r="V5" i="21"/>
  <c r="R6" i="21"/>
  <c r="V6" i="21"/>
  <c r="R7" i="21"/>
  <c r="V7" i="21"/>
  <c r="R8" i="21"/>
  <c r="V8" i="21"/>
  <c r="R9" i="21"/>
  <c r="S9" i="21" s="1"/>
  <c r="V9" i="21"/>
  <c r="R10" i="21"/>
  <c r="V10" i="21"/>
  <c r="R11" i="21"/>
  <c r="V11" i="21"/>
  <c r="R12" i="21"/>
  <c r="T12" i="21" s="1"/>
  <c r="V12" i="21"/>
  <c r="R13" i="21"/>
  <c r="R14" i="21"/>
  <c r="V14" i="21"/>
  <c r="R15" i="21"/>
  <c r="V15" i="21"/>
  <c r="R16" i="21"/>
  <c r="V16" i="21"/>
  <c r="R17" i="21"/>
  <c r="V17" i="21"/>
  <c r="R18" i="21"/>
  <c r="T18" i="21" s="1"/>
  <c r="V18" i="21"/>
  <c r="R19" i="21"/>
  <c r="V19" i="21"/>
  <c r="R20" i="21"/>
  <c r="V20" i="21"/>
  <c r="R21" i="21"/>
  <c r="V21" i="21"/>
  <c r="R22" i="21"/>
  <c r="S22" i="21" s="1"/>
  <c r="V22" i="21"/>
  <c r="R23" i="21"/>
  <c r="V23" i="21"/>
  <c r="R24" i="21"/>
  <c r="R25" i="21"/>
  <c r="V25" i="21"/>
  <c r="R26" i="21"/>
  <c r="V26" i="21"/>
  <c r="R27" i="21"/>
  <c r="V27" i="21"/>
  <c r="R28" i="21"/>
  <c r="V28" i="21"/>
  <c r="R29" i="21"/>
  <c r="V29" i="21"/>
  <c r="R30" i="21"/>
  <c r="V30" i="21"/>
  <c r="R31" i="21"/>
  <c r="V31" i="21"/>
  <c r="R32" i="21"/>
  <c r="V32" i="21"/>
  <c r="R33" i="21"/>
  <c r="T33" i="21" s="1"/>
  <c r="V33" i="21"/>
  <c r="R34" i="21"/>
  <c r="S34" i="21" s="1"/>
  <c r="V34" i="21"/>
  <c r="R35" i="21"/>
  <c r="U36" i="21"/>
  <c r="V36" i="21"/>
  <c r="R37" i="21"/>
  <c r="T37" i="21" s="1"/>
  <c r="R38" i="21"/>
  <c r="T38" i="21" s="1"/>
  <c r="W38" i="21" s="1"/>
  <c r="X38" i="21" s="1"/>
  <c r="R39" i="21"/>
  <c r="T39" i="21" s="1"/>
  <c r="W39" i="21" s="1"/>
  <c r="X39" i="21" s="1"/>
  <c r="R40" i="21"/>
  <c r="T40" i="21" s="1"/>
  <c r="W40" i="21" s="1"/>
  <c r="X40" i="21" s="1"/>
  <c r="R41" i="21"/>
  <c r="T41" i="21" s="1"/>
  <c r="W41" i="21" s="1"/>
  <c r="X41" i="21" s="1"/>
  <c r="R42" i="21"/>
  <c r="T42" i="21" s="1"/>
  <c r="W42" i="21" s="1"/>
  <c r="X42" i="21" s="1"/>
  <c r="R43" i="21"/>
  <c r="T43" i="21" s="1"/>
  <c r="W43" i="21" s="1"/>
  <c r="X43" i="21" s="1"/>
  <c r="R44" i="21"/>
  <c r="T44" i="21" s="1"/>
  <c r="W44" i="21" s="1"/>
  <c r="X44" i="21" s="1"/>
  <c r="R45" i="21"/>
  <c r="T45" i="21" s="1"/>
  <c r="W45" i="21" s="1"/>
  <c r="X45" i="21" s="1"/>
  <c r="R46" i="21"/>
  <c r="T46" i="21" s="1"/>
  <c r="W46" i="21" s="1"/>
  <c r="X46" i="21" s="1"/>
  <c r="R47" i="21"/>
  <c r="S47" i="21"/>
  <c r="R48" i="21"/>
  <c r="T48" i="21" s="1"/>
  <c r="R49" i="21"/>
  <c r="T49" i="21" s="1"/>
  <c r="W49" i="21" s="1"/>
  <c r="X49" i="21" s="1"/>
  <c r="R50" i="21"/>
  <c r="T50" i="21" s="1"/>
  <c r="W50" i="21" s="1"/>
  <c r="X50" i="21" s="1"/>
  <c r="R51" i="21"/>
  <c r="T51" i="21" s="1"/>
  <c r="W51" i="21" s="1"/>
  <c r="X51" i="21" s="1"/>
  <c r="R52" i="21"/>
  <c r="T52" i="21" s="1"/>
  <c r="W52" i="21" s="1"/>
  <c r="X52" i="21" s="1"/>
  <c r="R53" i="21"/>
  <c r="T53" i="21" s="1"/>
  <c r="W53" i="21" s="1"/>
  <c r="X53" i="21" s="1"/>
  <c r="R54" i="21"/>
  <c r="T54" i="21" s="1"/>
  <c r="W54" i="21" s="1"/>
  <c r="X54" i="21" s="1"/>
  <c r="R55" i="21"/>
  <c r="T55" i="21" s="1"/>
  <c r="W55" i="21" s="1"/>
  <c r="X55" i="21" s="1"/>
  <c r="R56" i="21"/>
  <c r="T56" i="21" s="1"/>
  <c r="W56" i="21" s="1"/>
  <c r="X56" i="21" s="1"/>
  <c r="R57" i="21"/>
  <c r="T57" i="21" s="1"/>
  <c r="W57" i="21" s="1"/>
  <c r="X57" i="21" s="1"/>
  <c r="R58" i="21"/>
  <c r="S58" i="21"/>
  <c r="R59" i="21"/>
  <c r="T59" i="21" s="1"/>
  <c r="R60" i="21"/>
  <c r="T60" i="21" s="1"/>
  <c r="W60" i="21" s="1"/>
  <c r="X60" i="21" s="1"/>
  <c r="R61" i="21"/>
  <c r="T61" i="21" s="1"/>
  <c r="W61" i="21" s="1"/>
  <c r="X61" i="21" s="1"/>
  <c r="R62" i="21"/>
  <c r="T62" i="21" s="1"/>
  <c r="W62" i="21" s="1"/>
  <c r="X62" i="21" s="1"/>
  <c r="R63" i="21"/>
  <c r="T63" i="21" s="1"/>
  <c r="W63" i="21" s="1"/>
  <c r="X63" i="21" s="1"/>
  <c r="R64" i="21"/>
  <c r="T64" i="21" s="1"/>
  <c r="W64" i="21" s="1"/>
  <c r="X64" i="21" s="1"/>
  <c r="R65" i="21"/>
  <c r="T65" i="21" s="1"/>
  <c r="W65" i="21" s="1"/>
  <c r="X65" i="21" s="1"/>
  <c r="R66" i="21"/>
  <c r="T66" i="21" s="1"/>
  <c r="W66" i="21" s="1"/>
  <c r="X66" i="21" s="1"/>
  <c r="R67" i="21"/>
  <c r="T67" i="21" s="1"/>
  <c r="W67" i="21" s="1"/>
  <c r="X67" i="21" s="1"/>
  <c r="R68" i="21"/>
  <c r="T68" i="21" s="1"/>
  <c r="W68" i="21" s="1"/>
  <c r="X68" i="21" s="1"/>
  <c r="R69" i="21"/>
  <c r="S69" i="21"/>
  <c r="U70" i="21"/>
  <c r="V70" i="21"/>
  <c r="R261" i="21"/>
  <c r="T261" i="21" s="1"/>
  <c r="V261" i="21"/>
  <c r="R262" i="21"/>
  <c r="S262" i="21" s="1"/>
  <c r="V262" i="21"/>
  <c r="R263" i="21"/>
  <c r="V263" i="21"/>
  <c r="R264" i="21"/>
  <c r="T264" i="21" s="1"/>
  <c r="V264" i="21"/>
  <c r="R265" i="21"/>
  <c r="V265" i="21"/>
  <c r="R266" i="21"/>
  <c r="S266" i="21" s="1"/>
  <c r="V266" i="21"/>
  <c r="R267" i="21"/>
  <c r="V267" i="21"/>
  <c r="R268" i="21"/>
  <c r="V268" i="21"/>
  <c r="R269" i="21"/>
  <c r="S269" i="21" s="1"/>
  <c r="V269" i="21"/>
  <c r="R270" i="21"/>
  <c r="T270" i="21" s="1"/>
  <c r="V270" i="21"/>
  <c r="R271" i="21"/>
  <c r="R272" i="21"/>
  <c r="T272" i="21" s="1"/>
  <c r="V272" i="21"/>
  <c r="R273" i="21"/>
  <c r="V273" i="21"/>
  <c r="R274" i="21"/>
  <c r="V274" i="21"/>
  <c r="R275" i="21"/>
  <c r="V275" i="21"/>
  <c r="R276" i="21"/>
  <c r="T276" i="21" s="1"/>
  <c r="V276" i="21"/>
  <c r="R277" i="21"/>
  <c r="V277" i="21"/>
  <c r="R278" i="21"/>
  <c r="T278" i="21" s="1"/>
  <c r="V278" i="21"/>
  <c r="R279" i="21"/>
  <c r="V279" i="21"/>
  <c r="R280" i="21"/>
  <c r="S280" i="21" s="1"/>
  <c r="V280" i="21"/>
  <c r="R281" i="21"/>
  <c r="S281" i="21" s="1"/>
  <c r="V281" i="21"/>
  <c r="R282" i="21"/>
  <c r="R283" i="21"/>
  <c r="V283" i="21"/>
  <c r="R284" i="21"/>
  <c r="V284" i="21"/>
  <c r="R285" i="21"/>
  <c r="V285" i="21"/>
  <c r="R286" i="21"/>
  <c r="V286" i="21"/>
  <c r="R287" i="21"/>
  <c r="S287" i="21" s="1"/>
  <c r="V287" i="21"/>
  <c r="R288" i="21"/>
  <c r="T288" i="21" s="1"/>
  <c r="V288" i="21"/>
  <c r="R289" i="21"/>
  <c r="T289" i="21" s="1"/>
  <c r="V289" i="21"/>
  <c r="R290" i="21"/>
  <c r="T290" i="21" s="1"/>
  <c r="V290" i="21"/>
  <c r="R291" i="21"/>
  <c r="V291" i="21"/>
  <c r="R292" i="21"/>
  <c r="V292" i="21"/>
  <c r="R293" i="21"/>
  <c r="U294" i="21"/>
  <c r="V294" i="21"/>
  <c r="R387" i="21"/>
  <c r="V387" i="21"/>
  <c r="R388" i="21"/>
  <c r="V388" i="21"/>
  <c r="R389" i="21"/>
  <c r="T389" i="21" s="1"/>
  <c r="V389" i="21"/>
  <c r="R390" i="21"/>
  <c r="V390" i="21"/>
  <c r="R391" i="21"/>
  <c r="V391" i="21"/>
  <c r="R392" i="21"/>
  <c r="S392" i="21" s="1"/>
  <c r="V392" i="21"/>
  <c r="R393" i="21"/>
  <c r="S393" i="21" s="1"/>
  <c r="V393" i="21"/>
  <c r="R394" i="21"/>
  <c r="V394" i="21"/>
  <c r="R395" i="21"/>
  <c r="T395" i="21" s="1"/>
  <c r="V395" i="21"/>
  <c r="R396" i="21"/>
  <c r="V396" i="21"/>
  <c r="R397" i="21"/>
  <c r="R398" i="21"/>
  <c r="V398" i="21"/>
  <c r="R399" i="21"/>
  <c r="S399" i="21" s="1"/>
  <c r="V399" i="21"/>
  <c r="R400" i="21"/>
  <c r="V400" i="21"/>
  <c r="R401" i="21"/>
  <c r="V401" i="21"/>
  <c r="R402" i="21"/>
  <c r="T402" i="21" s="1"/>
  <c r="V402" i="21"/>
  <c r="R403" i="21"/>
  <c r="S403" i="21" s="1"/>
  <c r="V403" i="21"/>
  <c r="R404" i="21"/>
  <c r="V404" i="21"/>
  <c r="R405" i="21"/>
  <c r="T405" i="21" s="1"/>
  <c r="V405" i="21"/>
  <c r="R406" i="21"/>
  <c r="S406" i="21" s="1"/>
  <c r="V406" i="21"/>
  <c r="R407" i="21"/>
  <c r="S407" i="21" s="1"/>
  <c r="V407" i="21"/>
  <c r="R408" i="21"/>
  <c r="R409" i="21"/>
  <c r="V409" i="21"/>
  <c r="R410" i="21"/>
  <c r="T410" i="21" s="1"/>
  <c r="V410" i="21"/>
  <c r="R411" i="21"/>
  <c r="T411" i="21" s="1"/>
  <c r="V411" i="21"/>
  <c r="R412" i="21"/>
  <c r="T412" i="21" s="1"/>
  <c r="V412" i="21"/>
  <c r="R413" i="21"/>
  <c r="V413" i="21"/>
  <c r="R414" i="21"/>
  <c r="V414" i="21"/>
  <c r="R415" i="21"/>
  <c r="V415" i="21"/>
  <c r="R416" i="21"/>
  <c r="V416" i="21"/>
  <c r="R417" i="21"/>
  <c r="S417" i="21" s="1"/>
  <c r="V417" i="21"/>
  <c r="R418" i="21"/>
  <c r="V418" i="21"/>
  <c r="R419" i="21"/>
  <c r="U420" i="21"/>
  <c r="V420" i="21"/>
  <c r="V645" i="21"/>
  <c r="R646" i="21"/>
  <c r="V646" i="21"/>
  <c r="R647" i="21"/>
  <c r="T647" i="21" s="1"/>
  <c r="V647" i="21"/>
  <c r="R648" i="21"/>
  <c r="V648" i="21"/>
  <c r="R649" i="21"/>
  <c r="V649" i="21"/>
  <c r="R650" i="21"/>
  <c r="S650" i="21" s="1"/>
  <c r="V650" i="21"/>
  <c r="R651" i="21"/>
  <c r="V651" i="21"/>
  <c r="R652" i="21"/>
  <c r="V652" i="21"/>
  <c r="R653" i="21"/>
  <c r="V653" i="21"/>
  <c r="R654" i="21"/>
  <c r="S654" i="21" s="1"/>
  <c r="V654" i="21"/>
  <c r="R656" i="21"/>
  <c r="V656" i="21"/>
  <c r="R657" i="21"/>
  <c r="V657" i="21"/>
  <c r="R658" i="21"/>
  <c r="T658" i="21" s="1"/>
  <c r="V658" i="21"/>
  <c r="R659" i="21"/>
  <c r="V659" i="21"/>
  <c r="R660" i="21"/>
  <c r="V660" i="21"/>
  <c r="R661" i="21"/>
  <c r="V661" i="21"/>
  <c r="R662" i="21"/>
  <c r="T662" i="21" s="1"/>
  <c r="V662" i="21"/>
  <c r="R663" i="21"/>
  <c r="V663" i="21"/>
  <c r="R664" i="21"/>
  <c r="S664" i="21" s="1"/>
  <c r="V664" i="21"/>
  <c r="R665" i="21"/>
  <c r="V665" i="21"/>
  <c r="R667" i="21"/>
  <c r="V667" i="21"/>
  <c r="R668" i="21"/>
  <c r="V668" i="21"/>
  <c r="R669" i="21"/>
  <c r="V669" i="21"/>
  <c r="R670" i="21"/>
  <c r="V670" i="21"/>
  <c r="R671" i="21"/>
  <c r="V671" i="21"/>
  <c r="R672" i="21"/>
  <c r="V672" i="21"/>
  <c r="R673" i="21"/>
  <c r="T673" i="21" s="1"/>
  <c r="V673" i="21"/>
  <c r="R674" i="21"/>
  <c r="V674" i="21"/>
  <c r="R675" i="21"/>
  <c r="T675" i="21" s="1"/>
  <c r="V675" i="21"/>
  <c r="R676" i="21"/>
  <c r="V676" i="21"/>
  <c r="P78" i="39"/>
  <c r="S78" i="39" s="1"/>
  <c r="E78" i="39"/>
  <c r="P77" i="39"/>
  <c r="S77" i="39" s="1"/>
  <c r="P76" i="39"/>
  <c r="S76" i="39" s="1"/>
  <c r="P75" i="39"/>
  <c r="S75" i="39" s="1"/>
  <c r="P74" i="39"/>
  <c r="S74" i="39" s="1"/>
  <c r="P73" i="39"/>
  <c r="S73" i="39" s="1"/>
  <c r="P72" i="39"/>
  <c r="S72" i="39" s="1"/>
  <c r="P71" i="39"/>
  <c r="S71" i="39" s="1"/>
  <c r="P70" i="39"/>
  <c r="S70" i="39" s="1"/>
  <c r="P69" i="39"/>
  <c r="S69" i="39" s="1"/>
  <c r="P68" i="39"/>
  <c r="S68" i="39" s="1"/>
  <c r="P67" i="39"/>
  <c r="P66" i="39"/>
  <c r="S66" i="39" s="1"/>
  <c r="H66" i="39"/>
  <c r="G66" i="39"/>
  <c r="A66" i="39"/>
  <c r="P65" i="39"/>
  <c r="H65" i="39"/>
  <c r="G65" i="39"/>
  <c r="A65" i="39"/>
  <c r="P64" i="39"/>
  <c r="S64" i="39" s="1"/>
  <c r="H64" i="39"/>
  <c r="G64" i="39"/>
  <c r="A64" i="39"/>
  <c r="P63" i="39"/>
  <c r="H63" i="39"/>
  <c r="G63" i="39"/>
  <c r="A63" i="39"/>
  <c r="B189" i="28" s="1"/>
  <c r="F61" i="39"/>
  <c r="B191" i="28" s="1"/>
  <c r="D61" i="39"/>
  <c r="B190" i="28" s="1"/>
  <c r="A61" i="39"/>
  <c r="A69" i="39" s="1"/>
  <c r="P58" i="39"/>
  <c r="S58" i="39" s="1"/>
  <c r="E58" i="39"/>
  <c r="P57" i="39"/>
  <c r="S57" i="39" s="1"/>
  <c r="P56" i="39"/>
  <c r="S56" i="39" s="1"/>
  <c r="P55" i="39"/>
  <c r="S55" i="39" s="1"/>
  <c r="P54" i="39"/>
  <c r="S54" i="39" s="1"/>
  <c r="P53" i="39"/>
  <c r="S53" i="39" s="1"/>
  <c r="P52" i="39"/>
  <c r="S52" i="39" s="1"/>
  <c r="P51" i="39"/>
  <c r="S51" i="39" s="1"/>
  <c r="P50" i="39"/>
  <c r="S50" i="39" s="1"/>
  <c r="P49" i="39"/>
  <c r="S49" i="39" s="1"/>
  <c r="P48" i="39"/>
  <c r="S48" i="39" s="1"/>
  <c r="P47" i="39"/>
  <c r="S47" i="39" s="1"/>
  <c r="P46" i="39"/>
  <c r="S46" i="39" s="1"/>
  <c r="H46" i="39"/>
  <c r="G46" i="39"/>
  <c r="A46" i="39"/>
  <c r="P45" i="39"/>
  <c r="H45" i="39"/>
  <c r="G45" i="39"/>
  <c r="A45" i="39"/>
  <c r="P44" i="39"/>
  <c r="S44" i="39" s="1"/>
  <c r="H44" i="39"/>
  <c r="G44" i="39"/>
  <c r="A44" i="39"/>
  <c r="P43" i="39"/>
  <c r="H43" i="39"/>
  <c r="G43" i="39"/>
  <c r="A43" i="39"/>
  <c r="B183" i="28" s="1"/>
  <c r="F41" i="39"/>
  <c r="B185" i="28" s="1"/>
  <c r="D41" i="39"/>
  <c r="B184" i="28" s="1"/>
  <c r="A41" i="39"/>
  <c r="A49" i="39" s="1"/>
  <c r="P38" i="39"/>
  <c r="S38" i="39" s="1"/>
  <c r="E38" i="39"/>
  <c r="P37" i="39"/>
  <c r="S37" i="39" s="1"/>
  <c r="P36" i="39"/>
  <c r="S36" i="39" s="1"/>
  <c r="P35" i="39"/>
  <c r="S35" i="39" s="1"/>
  <c r="P34" i="39"/>
  <c r="S34" i="39" s="1"/>
  <c r="P33" i="39"/>
  <c r="S33" i="39" s="1"/>
  <c r="P32" i="39"/>
  <c r="S32" i="39" s="1"/>
  <c r="P31" i="39"/>
  <c r="S31" i="39" s="1"/>
  <c r="P30" i="39"/>
  <c r="S30" i="39" s="1"/>
  <c r="P29" i="39"/>
  <c r="S29" i="39" s="1"/>
  <c r="P28" i="39"/>
  <c r="S28" i="39" s="1"/>
  <c r="P27" i="39"/>
  <c r="P26" i="39"/>
  <c r="S26" i="39" s="1"/>
  <c r="H26" i="39"/>
  <c r="G26" i="39"/>
  <c r="A26" i="39"/>
  <c r="P25" i="39"/>
  <c r="H25" i="39"/>
  <c r="G25" i="39"/>
  <c r="A25" i="39"/>
  <c r="P24" i="39"/>
  <c r="S24" i="39" s="1"/>
  <c r="H24" i="39"/>
  <c r="G24" i="39"/>
  <c r="A24" i="39"/>
  <c r="P23" i="39"/>
  <c r="H23" i="39"/>
  <c r="G23" i="39"/>
  <c r="A23" i="39"/>
  <c r="B177" i="28" s="1"/>
  <c r="F21" i="39"/>
  <c r="B179" i="28" s="1"/>
  <c r="D21" i="39"/>
  <c r="B178" i="28" s="1"/>
  <c r="A21" i="39"/>
  <c r="A29" i="39" s="1"/>
  <c r="P18" i="39"/>
  <c r="S18" i="39" s="1"/>
  <c r="E18" i="39"/>
  <c r="P17" i="39"/>
  <c r="S17" i="39" s="1"/>
  <c r="P16" i="39"/>
  <c r="S16" i="39" s="1"/>
  <c r="P15" i="39"/>
  <c r="S15" i="39" s="1"/>
  <c r="P14" i="39"/>
  <c r="S14" i="39" s="1"/>
  <c r="P13" i="39"/>
  <c r="S13" i="39" s="1"/>
  <c r="P12" i="39"/>
  <c r="S12" i="39" s="1"/>
  <c r="P11" i="39"/>
  <c r="S11" i="39" s="1"/>
  <c r="P10" i="39"/>
  <c r="S10" i="39" s="1"/>
  <c r="P9" i="39"/>
  <c r="S9" i="39" s="1"/>
  <c r="P8" i="39"/>
  <c r="S8" i="39" s="1"/>
  <c r="P7" i="39"/>
  <c r="S7" i="39" s="1"/>
  <c r="P6" i="39"/>
  <c r="S6" i="39" s="1"/>
  <c r="H6" i="39"/>
  <c r="G6" i="39"/>
  <c r="A6" i="39"/>
  <c r="JU5" i="39"/>
  <c r="U78" i="39" s="1"/>
  <c r="JT5" i="39"/>
  <c r="U77" i="39" s="1"/>
  <c r="JS5" i="39"/>
  <c r="U76" i="39" s="1"/>
  <c r="JR5" i="39"/>
  <c r="U75" i="39" s="1"/>
  <c r="JQ5" i="39"/>
  <c r="U74" i="39" s="1"/>
  <c r="JP5" i="39"/>
  <c r="U73" i="39" s="1"/>
  <c r="JO5" i="39"/>
  <c r="U72" i="39" s="1"/>
  <c r="JN5" i="39"/>
  <c r="U71" i="39" s="1"/>
  <c r="JM5" i="39"/>
  <c r="U70" i="39" s="1"/>
  <c r="JL5" i="39"/>
  <c r="U69" i="39" s="1"/>
  <c r="JK5" i="39"/>
  <c r="U68" i="39" s="1"/>
  <c r="JJ5" i="39"/>
  <c r="U67" i="39" s="1"/>
  <c r="JI5" i="39"/>
  <c r="U66" i="39" s="1"/>
  <c r="JH5" i="39"/>
  <c r="U65" i="39" s="1"/>
  <c r="JG5" i="39"/>
  <c r="U64" i="39" s="1"/>
  <c r="JF5" i="39"/>
  <c r="U63" i="39" s="1"/>
  <c r="JE5" i="39"/>
  <c r="Q78" i="39" s="1"/>
  <c r="JD5" i="39"/>
  <c r="Q77" i="39" s="1"/>
  <c r="JC5" i="39"/>
  <c r="Q76" i="39" s="1"/>
  <c r="JB5" i="39"/>
  <c r="Q75" i="39" s="1"/>
  <c r="JA5" i="39"/>
  <c r="Q74" i="39" s="1"/>
  <c r="IZ5" i="39"/>
  <c r="Q73" i="39" s="1"/>
  <c r="IY5" i="39"/>
  <c r="Q72" i="39" s="1"/>
  <c r="IX5" i="39"/>
  <c r="Q71" i="39" s="1"/>
  <c r="IW5" i="39"/>
  <c r="Q70" i="39" s="1"/>
  <c r="IV5" i="39"/>
  <c r="Q69" i="39" s="1"/>
  <c r="IU5" i="39"/>
  <c r="Q68" i="39" s="1"/>
  <c r="IT5" i="39"/>
  <c r="Q67" i="39" s="1"/>
  <c r="IS5" i="39"/>
  <c r="Q66" i="39" s="1"/>
  <c r="IR5" i="39"/>
  <c r="Q65" i="39" s="1"/>
  <c r="IQ5" i="39"/>
  <c r="Q64" i="39" s="1"/>
  <c r="IP5" i="39"/>
  <c r="Q63" i="39" s="1"/>
  <c r="IO5" i="39"/>
  <c r="IN5" i="39"/>
  <c r="IM5" i="39"/>
  <c r="IL5" i="39"/>
  <c r="IK5" i="39"/>
  <c r="IJ5" i="39"/>
  <c r="II5" i="39"/>
  <c r="IH5" i="39"/>
  <c r="IG5" i="39"/>
  <c r="IF5" i="39"/>
  <c r="IE5" i="39"/>
  <c r="ID5" i="39"/>
  <c r="IC5" i="39"/>
  <c r="IB5" i="39"/>
  <c r="IA5" i="39"/>
  <c r="HZ5" i="39"/>
  <c r="HY5" i="39"/>
  <c r="R78" i="39" s="1"/>
  <c r="T78" i="39" s="1"/>
  <c r="HX5" i="39"/>
  <c r="R77" i="39" s="1"/>
  <c r="T77" i="39" s="1"/>
  <c r="HW5" i="39"/>
  <c r="HV5" i="39"/>
  <c r="HU5" i="39"/>
  <c r="HT5" i="39"/>
  <c r="R73" i="39" s="1"/>
  <c r="T73" i="39" s="1"/>
  <c r="HS5" i="39"/>
  <c r="HR5" i="39"/>
  <c r="HQ5" i="39"/>
  <c r="HP5" i="39"/>
  <c r="R69" i="39" s="1"/>
  <c r="T69" i="39" s="1"/>
  <c r="HO5" i="39"/>
  <c r="HN5" i="39"/>
  <c r="R67" i="39" s="1"/>
  <c r="HM5" i="39"/>
  <c r="HL5" i="39"/>
  <c r="HK5" i="39"/>
  <c r="R64" i="39" s="1"/>
  <c r="T64" i="39" s="1"/>
  <c r="HJ5" i="39"/>
  <c r="HI5" i="39"/>
  <c r="U58" i="39" s="1"/>
  <c r="HH5" i="39"/>
  <c r="U57" i="39" s="1"/>
  <c r="HG5" i="39"/>
  <c r="U56" i="39" s="1"/>
  <c r="HF5" i="39"/>
  <c r="U55" i="39" s="1"/>
  <c r="HE5" i="39"/>
  <c r="U54" i="39" s="1"/>
  <c r="HD5" i="39"/>
  <c r="U53" i="39" s="1"/>
  <c r="HC5" i="39"/>
  <c r="U52" i="39" s="1"/>
  <c r="HB5" i="39"/>
  <c r="U51" i="39" s="1"/>
  <c r="HA5" i="39"/>
  <c r="U50" i="39" s="1"/>
  <c r="GZ5" i="39"/>
  <c r="U49" i="39" s="1"/>
  <c r="GY5" i="39"/>
  <c r="U48" i="39" s="1"/>
  <c r="GX5" i="39"/>
  <c r="U47" i="39" s="1"/>
  <c r="GW5" i="39"/>
  <c r="U46" i="39" s="1"/>
  <c r="GV5" i="39"/>
  <c r="U45" i="39" s="1"/>
  <c r="GU5" i="39"/>
  <c r="U44" i="39" s="1"/>
  <c r="GT5" i="39"/>
  <c r="U43" i="39" s="1"/>
  <c r="GS5" i="39"/>
  <c r="Q58" i="39" s="1"/>
  <c r="GR5" i="39"/>
  <c r="Q57" i="39" s="1"/>
  <c r="GQ5" i="39"/>
  <c r="Q56" i="39" s="1"/>
  <c r="GP5" i="39"/>
  <c r="Q55" i="39" s="1"/>
  <c r="GO5" i="39"/>
  <c r="Q54" i="39" s="1"/>
  <c r="GN5" i="39"/>
  <c r="Q53" i="39" s="1"/>
  <c r="GM5" i="39"/>
  <c r="Q52" i="39" s="1"/>
  <c r="GL5" i="39"/>
  <c r="Q51" i="39" s="1"/>
  <c r="GK5" i="39"/>
  <c r="Q50" i="39" s="1"/>
  <c r="GJ5" i="39"/>
  <c r="Q49" i="39" s="1"/>
  <c r="GI5" i="39"/>
  <c r="Q48" i="39" s="1"/>
  <c r="GH5" i="39"/>
  <c r="Q47" i="39" s="1"/>
  <c r="GG5" i="39"/>
  <c r="Q46" i="39" s="1"/>
  <c r="GF5" i="39"/>
  <c r="Q45" i="39" s="1"/>
  <c r="GE5" i="39"/>
  <c r="Q44" i="39" s="1"/>
  <c r="GD5" i="39"/>
  <c r="Q43" i="39" s="1"/>
  <c r="GC5" i="39"/>
  <c r="GB5" i="39"/>
  <c r="GA5" i="39"/>
  <c r="FZ5" i="39"/>
  <c r="FY5" i="39"/>
  <c r="FX5" i="39"/>
  <c r="FW5" i="39"/>
  <c r="FV5" i="39"/>
  <c r="FU5" i="39"/>
  <c r="FT5" i="39"/>
  <c r="FS5" i="39"/>
  <c r="FR5" i="39"/>
  <c r="FQ5" i="39"/>
  <c r="FP5" i="39"/>
  <c r="FO5" i="39"/>
  <c r="FN5" i="39"/>
  <c r="FM5" i="39"/>
  <c r="FL5" i="39"/>
  <c r="R57" i="39" s="1"/>
  <c r="T57" i="39" s="1"/>
  <c r="FK5" i="39"/>
  <c r="FJ5" i="39"/>
  <c r="R55" i="39" s="1"/>
  <c r="FI5" i="39"/>
  <c r="FH5" i="39"/>
  <c r="FG5" i="39"/>
  <c r="R52" i="39" s="1"/>
  <c r="T52" i="39" s="1"/>
  <c r="FF5" i="39"/>
  <c r="FE5" i="39"/>
  <c r="FD5" i="39"/>
  <c r="R49" i="39" s="1"/>
  <c r="T49" i="39" s="1"/>
  <c r="FC5" i="39"/>
  <c r="FB5" i="39"/>
  <c r="FA5" i="39"/>
  <c r="EZ5" i="39"/>
  <c r="EY5" i="39"/>
  <c r="EX5" i="39"/>
  <c r="R43" i="39" s="1"/>
  <c r="EW5" i="39"/>
  <c r="U38" i="39" s="1"/>
  <c r="EV5" i="39"/>
  <c r="U37" i="39" s="1"/>
  <c r="EU5" i="39"/>
  <c r="U36" i="39" s="1"/>
  <c r="ET5" i="39"/>
  <c r="U35" i="39" s="1"/>
  <c r="ES5" i="39"/>
  <c r="U34" i="39" s="1"/>
  <c r="ER5" i="39"/>
  <c r="U33" i="39" s="1"/>
  <c r="EQ5" i="39"/>
  <c r="U32" i="39" s="1"/>
  <c r="EP5" i="39"/>
  <c r="U31" i="39" s="1"/>
  <c r="EO5" i="39"/>
  <c r="U30" i="39" s="1"/>
  <c r="EN5" i="39"/>
  <c r="U29" i="39" s="1"/>
  <c r="EM5" i="39"/>
  <c r="U28" i="39" s="1"/>
  <c r="EL5" i="39"/>
  <c r="U27" i="39" s="1"/>
  <c r="EK5" i="39"/>
  <c r="U26" i="39" s="1"/>
  <c r="EJ5" i="39"/>
  <c r="U25" i="39" s="1"/>
  <c r="EI5" i="39"/>
  <c r="U24" i="39" s="1"/>
  <c r="EH5" i="39"/>
  <c r="U23" i="39" s="1"/>
  <c r="EG5" i="39"/>
  <c r="Q38" i="39" s="1"/>
  <c r="EF5" i="39"/>
  <c r="Q37" i="39" s="1"/>
  <c r="EE5" i="39"/>
  <c r="Q36" i="39" s="1"/>
  <c r="ED5" i="39"/>
  <c r="Q35" i="39" s="1"/>
  <c r="EC5" i="39"/>
  <c r="Q34" i="39" s="1"/>
  <c r="EB5" i="39"/>
  <c r="Q33" i="39" s="1"/>
  <c r="EA5" i="39"/>
  <c r="Q32" i="39" s="1"/>
  <c r="DZ5" i="39"/>
  <c r="Q31" i="39" s="1"/>
  <c r="DY5" i="39"/>
  <c r="Q30" i="39" s="1"/>
  <c r="DX5" i="39"/>
  <c r="Q29" i="39" s="1"/>
  <c r="DW5" i="39"/>
  <c r="Q28" i="39" s="1"/>
  <c r="DV5" i="39"/>
  <c r="Q27" i="39" s="1"/>
  <c r="DU5" i="39"/>
  <c r="Q26" i="39" s="1"/>
  <c r="DT5" i="39"/>
  <c r="Q25" i="39" s="1"/>
  <c r="DS5" i="39"/>
  <c r="Q24" i="39" s="1"/>
  <c r="DR5" i="39"/>
  <c r="Q23" i="39" s="1"/>
  <c r="DQ5" i="39"/>
  <c r="DP5" i="39"/>
  <c r="DO5" i="39"/>
  <c r="DN5" i="39"/>
  <c r="DM5" i="39"/>
  <c r="DL5" i="39"/>
  <c r="DK5" i="39"/>
  <c r="DJ5" i="39"/>
  <c r="DI5" i="39"/>
  <c r="DH5" i="39"/>
  <c r="DG5" i="39"/>
  <c r="DF5" i="39"/>
  <c r="DE5" i="39"/>
  <c r="DD5" i="39"/>
  <c r="R25" i="39" s="1"/>
  <c r="T25" i="39" s="1"/>
  <c r="DC5" i="39"/>
  <c r="DB5" i="39"/>
  <c r="DA5" i="39"/>
  <c r="CZ5" i="39"/>
  <c r="CY5" i="39"/>
  <c r="CX5" i="39"/>
  <c r="CW5" i="39"/>
  <c r="CV5" i="39"/>
  <c r="CU5" i="39"/>
  <c r="CT5" i="39"/>
  <c r="CS5" i="39"/>
  <c r="CR5" i="39"/>
  <c r="R29" i="39" s="1"/>
  <c r="T29" i="39" s="1"/>
  <c r="CQ5" i="39"/>
  <c r="R28" i="39" s="1"/>
  <c r="T28" i="39" s="1"/>
  <c r="CP5" i="39"/>
  <c r="CO5" i="39"/>
  <c r="CM5" i="39"/>
  <c r="CL5" i="39"/>
  <c r="CK5" i="39"/>
  <c r="U18" i="39" s="1"/>
  <c r="CJ5" i="39"/>
  <c r="U17" i="39" s="1"/>
  <c r="CI5" i="39"/>
  <c r="U16" i="39" s="1"/>
  <c r="CH5" i="39"/>
  <c r="U15" i="39" s="1"/>
  <c r="CG5" i="39"/>
  <c r="U14" i="39" s="1"/>
  <c r="CF5" i="39"/>
  <c r="U13" i="39" s="1"/>
  <c r="CE5" i="39"/>
  <c r="U12" i="39" s="1"/>
  <c r="CD5" i="39"/>
  <c r="U11" i="39" s="1"/>
  <c r="CC5" i="39"/>
  <c r="U10" i="39" s="1"/>
  <c r="CB5" i="39"/>
  <c r="U9" i="39" s="1"/>
  <c r="CA5" i="39"/>
  <c r="U8" i="39" s="1"/>
  <c r="BZ5" i="39"/>
  <c r="U7" i="39" s="1"/>
  <c r="BY5" i="39"/>
  <c r="U6" i="39" s="1"/>
  <c r="BX5" i="39"/>
  <c r="U5" i="39" s="1"/>
  <c r="BW5" i="39"/>
  <c r="U4" i="39" s="1"/>
  <c r="BV5" i="39"/>
  <c r="U3" i="39" s="1"/>
  <c r="BU5" i="39"/>
  <c r="Q18" i="39" s="1"/>
  <c r="BT5" i="39"/>
  <c r="Q17" i="39" s="1"/>
  <c r="BS5" i="39"/>
  <c r="Q16" i="39" s="1"/>
  <c r="BR5" i="39"/>
  <c r="Q15" i="39" s="1"/>
  <c r="BQ5" i="39"/>
  <c r="Q14" i="39" s="1"/>
  <c r="BP5" i="39"/>
  <c r="Q13" i="39" s="1"/>
  <c r="BO5" i="39"/>
  <c r="Q12" i="39" s="1"/>
  <c r="BN5" i="39"/>
  <c r="Q11" i="39" s="1"/>
  <c r="BM5" i="39"/>
  <c r="Q10" i="39" s="1"/>
  <c r="BL5" i="39"/>
  <c r="Q9" i="39" s="1"/>
  <c r="BK5" i="39"/>
  <c r="Q8" i="39" s="1"/>
  <c r="BJ5" i="39"/>
  <c r="Q7" i="39" s="1"/>
  <c r="BI5" i="39"/>
  <c r="Q6" i="39" s="1"/>
  <c r="BH5" i="39"/>
  <c r="Q5" i="39" s="1"/>
  <c r="BG5" i="39"/>
  <c r="Q4" i="39" s="1"/>
  <c r="BF5" i="39"/>
  <c r="Q3" i="39" s="1"/>
  <c r="BE5" i="39"/>
  <c r="BD5" i="39"/>
  <c r="BC5" i="39"/>
  <c r="BB5" i="39"/>
  <c r="BA5" i="39"/>
  <c r="AZ5" i="39"/>
  <c r="AY5" i="39"/>
  <c r="AX5" i="39"/>
  <c r="AW5" i="39"/>
  <c r="AV5" i="39"/>
  <c r="AU5" i="39"/>
  <c r="AT5" i="39"/>
  <c r="AS5" i="39"/>
  <c r="AR5" i="39"/>
  <c r="AQ5" i="39"/>
  <c r="AP5" i="39"/>
  <c r="AO5" i="39"/>
  <c r="R18" i="39" s="1"/>
  <c r="T18" i="39" s="1"/>
  <c r="AN5" i="39"/>
  <c r="AM5" i="39"/>
  <c r="R16" i="39" s="1"/>
  <c r="T16" i="39" s="1"/>
  <c r="AL5" i="39"/>
  <c r="AK5" i="39"/>
  <c r="R14" i="39" s="1"/>
  <c r="T14" i="39" s="1"/>
  <c r="AJ5" i="39"/>
  <c r="R13" i="39" s="1"/>
  <c r="T13" i="39" s="1"/>
  <c r="AI5" i="39"/>
  <c r="AH5" i="39"/>
  <c r="R11" i="39" s="1"/>
  <c r="T11" i="39" s="1"/>
  <c r="AG5" i="39"/>
  <c r="AF5" i="39"/>
  <c r="AE5" i="39"/>
  <c r="R8" i="39" s="1"/>
  <c r="T8" i="39" s="1"/>
  <c r="AD5" i="39"/>
  <c r="AC5" i="39"/>
  <c r="AB5" i="39"/>
  <c r="R5" i="39" s="1"/>
  <c r="T5" i="39" s="1"/>
  <c r="AA5" i="39"/>
  <c r="Z5" i="39"/>
  <c r="P5" i="39"/>
  <c r="H5" i="39"/>
  <c r="G5" i="39"/>
  <c r="A5" i="39"/>
  <c r="HM4" i="39"/>
  <c r="HQ4" i="39" s="1"/>
  <c r="HU4" i="39" s="1"/>
  <c r="HY4" i="39" s="1"/>
  <c r="IC4" i="39" s="1"/>
  <c r="IG4" i="39" s="1"/>
  <c r="IK4" i="39" s="1"/>
  <c r="IO4" i="39" s="1"/>
  <c r="IS4" i="39" s="1"/>
  <c r="IW4" i="39" s="1"/>
  <c r="JA4" i="39" s="1"/>
  <c r="JE4" i="39" s="1"/>
  <c r="JI4" i="39" s="1"/>
  <c r="JM4" i="39" s="1"/>
  <c r="JQ4" i="39" s="1"/>
  <c r="JU4" i="39" s="1"/>
  <c r="HL4" i="39"/>
  <c r="HP4" i="39" s="1"/>
  <c r="HT4" i="39" s="1"/>
  <c r="HX4" i="39" s="1"/>
  <c r="IB4" i="39" s="1"/>
  <c r="IF4" i="39" s="1"/>
  <c r="IJ4" i="39" s="1"/>
  <c r="IN4" i="39" s="1"/>
  <c r="IR4" i="39" s="1"/>
  <c r="IV4" i="39" s="1"/>
  <c r="IZ4" i="39" s="1"/>
  <c r="JD4" i="39" s="1"/>
  <c r="JH4" i="39" s="1"/>
  <c r="JL4" i="39" s="1"/>
  <c r="JP4" i="39" s="1"/>
  <c r="JT4" i="39" s="1"/>
  <c r="HK4" i="39"/>
  <c r="HO4" i="39" s="1"/>
  <c r="HS4" i="39" s="1"/>
  <c r="HW4" i="39" s="1"/>
  <c r="IA4" i="39" s="1"/>
  <c r="IE4" i="39" s="1"/>
  <c r="II4" i="39" s="1"/>
  <c r="IM4" i="39" s="1"/>
  <c r="IQ4" i="39" s="1"/>
  <c r="IU4" i="39" s="1"/>
  <c r="IY4" i="39" s="1"/>
  <c r="JC4" i="39" s="1"/>
  <c r="JG4" i="39" s="1"/>
  <c r="JK4" i="39" s="1"/>
  <c r="JO4" i="39" s="1"/>
  <c r="JS4" i="39" s="1"/>
  <c r="HJ4" i="39"/>
  <c r="HN4" i="39" s="1"/>
  <c r="HR4" i="39" s="1"/>
  <c r="HV4" i="39" s="1"/>
  <c r="HZ4" i="39" s="1"/>
  <c r="ID4" i="39" s="1"/>
  <c r="IH4" i="39" s="1"/>
  <c r="IL4" i="39" s="1"/>
  <c r="IP4" i="39" s="1"/>
  <c r="IT4" i="39" s="1"/>
  <c r="IX4" i="39" s="1"/>
  <c r="JB4" i="39" s="1"/>
  <c r="JF4" i="39" s="1"/>
  <c r="JJ4" i="39" s="1"/>
  <c r="JN4" i="39" s="1"/>
  <c r="JR4" i="39" s="1"/>
  <c r="FA4" i="39"/>
  <c r="FE4" i="39" s="1"/>
  <c r="FI4" i="39" s="1"/>
  <c r="FM4" i="39" s="1"/>
  <c r="FQ4" i="39" s="1"/>
  <c r="FU4" i="39" s="1"/>
  <c r="FY4" i="39" s="1"/>
  <c r="GC4" i="39" s="1"/>
  <c r="GG4" i="39" s="1"/>
  <c r="GK4" i="39" s="1"/>
  <c r="GO4" i="39" s="1"/>
  <c r="GS4" i="39" s="1"/>
  <c r="GW4" i="39" s="1"/>
  <c r="HA4" i="39" s="1"/>
  <c r="HE4" i="39" s="1"/>
  <c r="HI4" i="39" s="1"/>
  <c r="EZ4" i="39"/>
  <c r="FD4" i="39" s="1"/>
  <c r="FH4" i="39" s="1"/>
  <c r="FL4" i="39" s="1"/>
  <c r="FP4" i="39" s="1"/>
  <c r="FT4" i="39" s="1"/>
  <c r="FX4" i="39" s="1"/>
  <c r="GB4" i="39" s="1"/>
  <c r="GF4" i="39" s="1"/>
  <c r="GJ4" i="39" s="1"/>
  <c r="GN4" i="39" s="1"/>
  <c r="GR4" i="39" s="1"/>
  <c r="GV4" i="39" s="1"/>
  <c r="GZ4" i="39" s="1"/>
  <c r="HD4" i="39" s="1"/>
  <c r="HH4" i="39" s="1"/>
  <c r="EY4" i="39"/>
  <c r="FC4" i="39" s="1"/>
  <c r="FG4" i="39" s="1"/>
  <c r="FK4" i="39" s="1"/>
  <c r="FO4" i="39" s="1"/>
  <c r="FS4" i="39" s="1"/>
  <c r="FW4" i="39" s="1"/>
  <c r="GA4" i="39" s="1"/>
  <c r="GE4" i="39" s="1"/>
  <c r="GI4" i="39" s="1"/>
  <c r="GM4" i="39" s="1"/>
  <c r="GQ4" i="39" s="1"/>
  <c r="GU4" i="39" s="1"/>
  <c r="GY4" i="39" s="1"/>
  <c r="HC4" i="39" s="1"/>
  <c r="HG4" i="39" s="1"/>
  <c r="EX4" i="39"/>
  <c r="FB4" i="39" s="1"/>
  <c r="FF4" i="39" s="1"/>
  <c r="FJ4" i="39" s="1"/>
  <c r="FN4" i="39" s="1"/>
  <c r="FR4" i="39" s="1"/>
  <c r="FV4" i="39" s="1"/>
  <c r="FZ4" i="39" s="1"/>
  <c r="GD4" i="39" s="1"/>
  <c r="GH4" i="39" s="1"/>
  <c r="GL4" i="39" s="1"/>
  <c r="GP4" i="39" s="1"/>
  <c r="GT4" i="39" s="1"/>
  <c r="GX4" i="39" s="1"/>
  <c r="HB4" i="39" s="1"/>
  <c r="HF4" i="39" s="1"/>
  <c r="CO4" i="39"/>
  <c r="CS4" i="39" s="1"/>
  <c r="CW4" i="39" s="1"/>
  <c r="DA4" i="39" s="1"/>
  <c r="DE4" i="39" s="1"/>
  <c r="DI4" i="39" s="1"/>
  <c r="DM4" i="39" s="1"/>
  <c r="DQ4" i="39" s="1"/>
  <c r="DU4" i="39" s="1"/>
  <c r="DY4" i="39" s="1"/>
  <c r="EC4" i="39" s="1"/>
  <c r="EG4" i="39" s="1"/>
  <c r="EK4" i="39" s="1"/>
  <c r="EO4" i="39" s="1"/>
  <c r="ES4" i="39" s="1"/>
  <c r="EW4" i="39" s="1"/>
  <c r="CN4" i="39"/>
  <c r="CR4" i="39" s="1"/>
  <c r="CV4" i="39" s="1"/>
  <c r="CZ4" i="39" s="1"/>
  <c r="DD4" i="39" s="1"/>
  <c r="DH4" i="39" s="1"/>
  <c r="DL4" i="39" s="1"/>
  <c r="DP4" i="39" s="1"/>
  <c r="DT4" i="39" s="1"/>
  <c r="DX4" i="39" s="1"/>
  <c r="EB4" i="39" s="1"/>
  <c r="EF4" i="39" s="1"/>
  <c r="EJ4" i="39" s="1"/>
  <c r="EN4" i="39" s="1"/>
  <c r="ER4" i="39" s="1"/>
  <c r="EV4" i="39" s="1"/>
  <c r="CM4" i="39"/>
  <c r="CQ4" i="39" s="1"/>
  <c r="CU4" i="39" s="1"/>
  <c r="CY4" i="39" s="1"/>
  <c r="DC4" i="39" s="1"/>
  <c r="DG4" i="39" s="1"/>
  <c r="DK4" i="39" s="1"/>
  <c r="DO4" i="39" s="1"/>
  <c r="DS4" i="39" s="1"/>
  <c r="DW4" i="39" s="1"/>
  <c r="EA4" i="39" s="1"/>
  <c r="EE4" i="39" s="1"/>
  <c r="EI4" i="39" s="1"/>
  <c r="EM4" i="39" s="1"/>
  <c r="EQ4" i="39" s="1"/>
  <c r="EU4" i="39" s="1"/>
  <c r="CL4" i="39"/>
  <c r="CP4" i="39" s="1"/>
  <c r="CT4" i="39" s="1"/>
  <c r="CX4" i="39" s="1"/>
  <c r="DB4" i="39" s="1"/>
  <c r="DF4" i="39" s="1"/>
  <c r="DJ4" i="39" s="1"/>
  <c r="DN4" i="39" s="1"/>
  <c r="DR4" i="39" s="1"/>
  <c r="DV4" i="39" s="1"/>
  <c r="DZ4" i="39" s="1"/>
  <c r="ED4" i="39" s="1"/>
  <c r="EH4" i="39" s="1"/>
  <c r="EL4" i="39" s="1"/>
  <c r="EP4" i="39" s="1"/>
  <c r="ET4" i="39" s="1"/>
  <c r="AC4" i="39"/>
  <c r="AG4" i="39" s="1"/>
  <c r="AK4" i="39" s="1"/>
  <c r="AO4" i="39" s="1"/>
  <c r="AS4" i="39" s="1"/>
  <c r="AW4" i="39" s="1"/>
  <c r="BA4" i="39" s="1"/>
  <c r="BE4" i="39" s="1"/>
  <c r="BI4" i="39" s="1"/>
  <c r="BM4" i="39" s="1"/>
  <c r="BQ4" i="39" s="1"/>
  <c r="BU4" i="39" s="1"/>
  <c r="BY4" i="39" s="1"/>
  <c r="CC4" i="39" s="1"/>
  <c r="CG4" i="39" s="1"/>
  <c r="CK4" i="39" s="1"/>
  <c r="AB4" i="39"/>
  <c r="AF4" i="39" s="1"/>
  <c r="AJ4" i="39" s="1"/>
  <c r="AN4" i="39" s="1"/>
  <c r="AR4" i="39" s="1"/>
  <c r="AV4" i="39" s="1"/>
  <c r="AZ4" i="39" s="1"/>
  <c r="BD4" i="39" s="1"/>
  <c r="BH4" i="39" s="1"/>
  <c r="BL4" i="39" s="1"/>
  <c r="BP4" i="39" s="1"/>
  <c r="BT4" i="39" s="1"/>
  <c r="BX4" i="39" s="1"/>
  <c r="CB4" i="39" s="1"/>
  <c r="CF4" i="39" s="1"/>
  <c r="CJ4" i="39" s="1"/>
  <c r="AA4" i="39"/>
  <c r="AE4" i="39" s="1"/>
  <c r="AI4" i="39" s="1"/>
  <c r="AM4" i="39" s="1"/>
  <c r="AQ4" i="39" s="1"/>
  <c r="AU4" i="39" s="1"/>
  <c r="AY4" i="39" s="1"/>
  <c r="BC4" i="39" s="1"/>
  <c r="BG4" i="39" s="1"/>
  <c r="BK4" i="39" s="1"/>
  <c r="BO4" i="39" s="1"/>
  <c r="BS4" i="39" s="1"/>
  <c r="BW4" i="39" s="1"/>
  <c r="CA4" i="39" s="1"/>
  <c r="CE4" i="39" s="1"/>
  <c r="CI4" i="39" s="1"/>
  <c r="Z4" i="39"/>
  <c r="AD4" i="39" s="1"/>
  <c r="AH4" i="39" s="1"/>
  <c r="AL4" i="39" s="1"/>
  <c r="AP4" i="39" s="1"/>
  <c r="AT4" i="39" s="1"/>
  <c r="AX4" i="39" s="1"/>
  <c r="BB4" i="39" s="1"/>
  <c r="BF4" i="39" s="1"/>
  <c r="BJ4" i="39" s="1"/>
  <c r="BN4" i="39" s="1"/>
  <c r="BR4" i="39" s="1"/>
  <c r="BV4" i="39" s="1"/>
  <c r="BZ4" i="39" s="1"/>
  <c r="CD4" i="39" s="1"/>
  <c r="CH4" i="39" s="1"/>
  <c r="P4" i="39"/>
  <c r="S4" i="39" s="1"/>
  <c r="H4" i="39"/>
  <c r="G4" i="39"/>
  <c r="A4" i="39"/>
  <c r="HV3" i="39"/>
  <c r="IL3" i="39" s="1"/>
  <c r="JB3" i="39" s="1"/>
  <c r="JR3" i="39" s="1"/>
  <c r="HR3" i="39"/>
  <c r="IH3" i="39" s="1"/>
  <c r="IX3" i="39" s="1"/>
  <c r="JN3" i="39" s="1"/>
  <c r="HN3" i="39"/>
  <c r="ID3" i="39" s="1"/>
  <c r="IT3" i="39" s="1"/>
  <c r="JJ3" i="39" s="1"/>
  <c r="HJ3" i="39"/>
  <c r="HZ3" i="39" s="1"/>
  <c r="IP3" i="39" s="1"/>
  <c r="JF3" i="39" s="1"/>
  <c r="FJ3" i="39"/>
  <c r="FZ3" i="39" s="1"/>
  <c r="GP3" i="39" s="1"/>
  <c r="HF3" i="39" s="1"/>
  <c r="FF3" i="39"/>
  <c r="FV3" i="39" s="1"/>
  <c r="GL3" i="39" s="1"/>
  <c r="HB3" i="39" s="1"/>
  <c r="FB3" i="39"/>
  <c r="FR3" i="39" s="1"/>
  <c r="GH3" i="39" s="1"/>
  <c r="GX3" i="39" s="1"/>
  <c r="EX3" i="39"/>
  <c r="FN3" i="39" s="1"/>
  <c r="GD3" i="39" s="1"/>
  <c r="GT3" i="39" s="1"/>
  <c r="CX3" i="39"/>
  <c r="DN3" i="39" s="1"/>
  <c r="ED3" i="39" s="1"/>
  <c r="ET3" i="39" s="1"/>
  <c r="CT3" i="39"/>
  <c r="DJ3" i="39" s="1"/>
  <c r="DZ3" i="39" s="1"/>
  <c r="EP3" i="39" s="1"/>
  <c r="CP3" i="39"/>
  <c r="DF3" i="39" s="1"/>
  <c r="DV3" i="39" s="1"/>
  <c r="EL3" i="39" s="1"/>
  <c r="CL3" i="39"/>
  <c r="DB3" i="39" s="1"/>
  <c r="DR3" i="39" s="1"/>
  <c r="EH3" i="39" s="1"/>
  <c r="AL3" i="39"/>
  <c r="BB3" i="39" s="1"/>
  <c r="BR3" i="39" s="1"/>
  <c r="CH3" i="39" s="1"/>
  <c r="AH3" i="39"/>
  <c r="AX3" i="39" s="1"/>
  <c r="BN3" i="39" s="1"/>
  <c r="CD3" i="39" s="1"/>
  <c r="AD3" i="39"/>
  <c r="AT3" i="39" s="1"/>
  <c r="BJ3" i="39" s="1"/>
  <c r="BZ3" i="39" s="1"/>
  <c r="Z3" i="39"/>
  <c r="AP3" i="39" s="1"/>
  <c r="BF3" i="39" s="1"/>
  <c r="BV3" i="39" s="1"/>
  <c r="P3" i="39"/>
  <c r="S3" i="39" s="1"/>
  <c r="H3" i="39"/>
  <c r="G3" i="39"/>
  <c r="A3" i="39"/>
  <c r="B171" i="28" s="1"/>
  <c r="HJ1" i="39"/>
  <c r="EX1" i="39"/>
  <c r="CL1" i="39"/>
  <c r="Z1" i="39"/>
  <c r="F1" i="39"/>
  <c r="B173" i="28" s="1"/>
  <c r="D1" i="39"/>
  <c r="B172" i="28" s="1"/>
  <c r="A1" i="39"/>
  <c r="A9" i="39" s="1"/>
  <c r="C45" i="42"/>
  <c r="B170" i="28"/>
  <c r="R65" i="39" l="1"/>
  <c r="T65" i="39" s="1"/>
  <c r="A78" i="70"/>
  <c r="F5" i="62"/>
  <c r="F6" i="62" s="1"/>
  <c r="F7" i="62"/>
  <c r="A136" i="62"/>
  <c r="A238" i="28"/>
  <c r="A292" i="28"/>
  <c r="A236" i="28"/>
  <c r="A234" i="28"/>
  <c r="A25" i="42"/>
  <c r="A23" i="42"/>
  <c r="R6" i="39"/>
  <c r="T6" i="39" s="1"/>
  <c r="R32" i="39"/>
  <c r="T32" i="39" s="1"/>
  <c r="R53" i="39"/>
  <c r="T53" i="39" s="1"/>
  <c r="C44" i="42"/>
  <c r="S5" i="39"/>
  <c r="D3" i="39" s="1"/>
  <c r="S25" i="39"/>
  <c r="R24" i="39"/>
  <c r="T24" i="39" s="1"/>
  <c r="R51" i="39"/>
  <c r="T51" i="39" s="1"/>
  <c r="R45" i="39"/>
  <c r="T45" i="39" s="1"/>
  <c r="R44" i="39"/>
  <c r="T44" i="39" s="1"/>
  <c r="A294" i="28"/>
  <c r="A14" i="73" s="1"/>
  <c r="P1286" i="21"/>
  <c r="P1309" i="21" s="1"/>
  <c r="P1343" i="21" s="1"/>
  <c r="P1346" i="21" s="1"/>
  <c r="P1538" i="21" s="1"/>
  <c r="R33" i="39"/>
  <c r="T33" i="39" s="1"/>
  <c r="L70" i="21"/>
  <c r="P902" i="21"/>
  <c r="P925" i="21" s="1"/>
  <c r="P959" i="21" s="1"/>
  <c r="P962" i="21" s="1"/>
  <c r="P1154" i="21" s="1"/>
  <c r="Q128" i="21"/>
  <c r="P1664" i="21"/>
  <c r="B230" i="28" s="1"/>
  <c r="Q896" i="21"/>
  <c r="Q1280" i="21"/>
  <c r="Q1693" i="21"/>
  <c r="Q1727" i="21" s="1"/>
  <c r="Q1730" i="21" s="1"/>
  <c r="Q1922" i="21" s="1"/>
  <c r="D230" i="28" s="1"/>
  <c r="Q1664" i="21"/>
  <c r="P128" i="21"/>
  <c r="B202" i="28" s="1"/>
  <c r="Q770" i="21"/>
  <c r="D209" i="28" s="1"/>
  <c r="P1280" i="21"/>
  <c r="B223" i="28" s="1"/>
  <c r="P896" i="21"/>
  <c r="B216" i="28" s="1"/>
  <c r="P770" i="21"/>
  <c r="P1693" i="21"/>
  <c r="P1727" i="21" s="1"/>
  <c r="P1730" i="21" s="1"/>
  <c r="P1922" i="21" s="1"/>
  <c r="L804" i="21"/>
  <c r="L1154" i="21"/>
  <c r="L1572" i="21"/>
  <c r="L1538" i="21"/>
  <c r="L1922" i="21"/>
  <c r="L420" i="21"/>
  <c r="L512" i="21" s="1"/>
  <c r="D205" i="28" s="1"/>
  <c r="L36" i="21"/>
  <c r="L838" i="21"/>
  <c r="L678" i="21"/>
  <c r="L770" i="21" s="1"/>
  <c r="L1606" i="21"/>
  <c r="L1188" i="21"/>
  <c r="L386" i="21"/>
  <c r="L1222" i="21"/>
  <c r="R37" i="39"/>
  <c r="T37" i="39" s="1"/>
  <c r="R9" i="39"/>
  <c r="T9" i="39" s="1"/>
  <c r="W1811" i="21"/>
  <c r="Y1811" i="21" s="1"/>
  <c r="Z1811" i="21" s="1"/>
  <c r="T1813" i="21"/>
  <c r="W1813" i="21" s="1"/>
  <c r="Y1813" i="21" s="1"/>
  <c r="Z1813" i="21" s="1"/>
  <c r="W1157" i="21"/>
  <c r="Y1157" i="21" s="1"/>
  <c r="Z1157" i="21" s="1"/>
  <c r="K1157" i="21" s="1"/>
  <c r="N1864" i="21"/>
  <c r="O1864" i="21" s="1"/>
  <c r="J1898" i="21"/>
  <c r="W1175" i="21"/>
  <c r="Y1175" i="21" s="1"/>
  <c r="Z1175" i="21" s="1"/>
  <c r="K1175" i="21" s="1"/>
  <c r="W1184" i="21"/>
  <c r="Y1184" i="21" s="1"/>
  <c r="Z1184" i="21" s="1"/>
  <c r="K1184" i="21" s="1"/>
  <c r="I1830" i="21"/>
  <c r="W1563" i="21"/>
  <c r="Y1563" i="21" s="1"/>
  <c r="Z1563" i="21" s="1"/>
  <c r="K1563" i="21" s="1"/>
  <c r="T1810" i="21"/>
  <c r="W1810" i="21" s="1"/>
  <c r="Y1810" i="21" s="1"/>
  <c r="Z1810" i="21" s="1"/>
  <c r="S1811" i="21"/>
  <c r="K1192" i="21"/>
  <c r="J1606" i="21"/>
  <c r="K1590" i="21"/>
  <c r="W1416" i="21"/>
  <c r="Y1416" i="21" s="1"/>
  <c r="Z1416" i="21" s="1"/>
  <c r="W1420" i="21"/>
  <c r="Y1420" i="21" s="1"/>
  <c r="Z1420" i="21" s="1"/>
  <c r="W1539" i="21"/>
  <c r="X1539" i="21" s="1"/>
  <c r="W1801" i="21"/>
  <c r="Y1801" i="21" s="1"/>
  <c r="Z1801" i="21" s="1"/>
  <c r="W1805" i="21"/>
  <c r="Y1805" i="21" s="1"/>
  <c r="Z1805" i="21" s="1"/>
  <c r="J1693" i="21"/>
  <c r="J1727" i="21" s="1"/>
  <c r="J1730" i="21" s="1"/>
  <c r="T1816" i="21"/>
  <c r="W1816" i="21" s="1"/>
  <c r="Y1816" i="21" s="1"/>
  <c r="Z1816" i="21" s="1"/>
  <c r="K1921" i="21"/>
  <c r="W1163" i="21"/>
  <c r="Y1163" i="21" s="1"/>
  <c r="Z1163" i="21" s="1"/>
  <c r="K1163" i="21" s="1"/>
  <c r="W1177" i="21"/>
  <c r="Y1177" i="21" s="1"/>
  <c r="K1195" i="21"/>
  <c r="K1207" i="21"/>
  <c r="T1557" i="21"/>
  <c r="W1557" i="21" s="1"/>
  <c r="Y1557" i="21" s="1"/>
  <c r="Z1557" i="21" s="1"/>
  <c r="K1557" i="21" s="1"/>
  <c r="T1567" i="21"/>
  <c r="W1567" i="21" s="1"/>
  <c r="Y1567" i="21" s="1"/>
  <c r="Z1567" i="21" s="1"/>
  <c r="K1567" i="21" s="1"/>
  <c r="K1597" i="21"/>
  <c r="K1663" i="21"/>
  <c r="K1730" i="21"/>
  <c r="N1728" i="21"/>
  <c r="O1728" i="21" s="1"/>
  <c r="K1830" i="21"/>
  <c r="W1179" i="21"/>
  <c r="Y1179" i="21" s="1"/>
  <c r="Z1179" i="21" s="1"/>
  <c r="K1179" i="21" s="1"/>
  <c r="T1664" i="21"/>
  <c r="O1726" i="21"/>
  <c r="W1800" i="21"/>
  <c r="Y1800" i="21" s="1"/>
  <c r="Z1800" i="21" s="1"/>
  <c r="W1804" i="21"/>
  <c r="Y1804" i="21" s="1"/>
  <c r="Z1804" i="21" s="1"/>
  <c r="T1815" i="21"/>
  <c r="W1815" i="21" s="1"/>
  <c r="Y1815" i="21" s="1"/>
  <c r="Z1815" i="21" s="1"/>
  <c r="W1817" i="21"/>
  <c r="Y1817" i="21" s="1"/>
  <c r="Z1817" i="21" s="1"/>
  <c r="K1796" i="21"/>
  <c r="T1178" i="21"/>
  <c r="W1178" i="21" s="1"/>
  <c r="Y1178" i="21" s="1"/>
  <c r="Z1178" i="21" s="1"/>
  <c r="K1178" i="21" s="1"/>
  <c r="S1179" i="21"/>
  <c r="I1188" i="21"/>
  <c r="T1547" i="21"/>
  <c r="W1547" i="21" s="1"/>
  <c r="Y1547" i="21" s="1"/>
  <c r="Z1547" i="21" s="1"/>
  <c r="K1547" i="21" s="1"/>
  <c r="T1548" i="21"/>
  <c r="W1548" i="21" s="1"/>
  <c r="Y1548" i="21" s="1"/>
  <c r="Z1548" i="21" s="1"/>
  <c r="K1548" i="21" s="1"/>
  <c r="T1601" i="21"/>
  <c r="W1601" i="21" s="1"/>
  <c r="X1601" i="21" s="1"/>
  <c r="I1663" i="21"/>
  <c r="S1808" i="21"/>
  <c r="T1828" i="21"/>
  <c r="W1828" i="21" s="1"/>
  <c r="Y1828" i="21" s="1"/>
  <c r="Z1828" i="21" s="1"/>
  <c r="J1222" i="21"/>
  <c r="K1202" i="21"/>
  <c r="K1209" i="21"/>
  <c r="K1213" i="21"/>
  <c r="N1410" i="21"/>
  <c r="O1410" i="21" s="1"/>
  <c r="J1514" i="21"/>
  <c r="T1553" i="21"/>
  <c r="W1553" i="21" s="1"/>
  <c r="Y1553" i="21" s="1"/>
  <c r="Z1553" i="21" s="1"/>
  <c r="K1553" i="21" s="1"/>
  <c r="T1554" i="21"/>
  <c r="W1554" i="21" s="1"/>
  <c r="Y1554" i="21" s="1"/>
  <c r="Z1554" i="21" s="1"/>
  <c r="K1554" i="21" s="1"/>
  <c r="S1563" i="21"/>
  <c r="T1580" i="21"/>
  <c r="W1580" i="21" s="1"/>
  <c r="X1580" i="21" s="1"/>
  <c r="I1640" i="21"/>
  <c r="J1640" i="21"/>
  <c r="N1794" i="21"/>
  <c r="O1794" i="21" s="1"/>
  <c r="T1826" i="21"/>
  <c r="W1826" i="21" s="1"/>
  <c r="Y1826" i="21" s="1"/>
  <c r="Z1826" i="21" s="1"/>
  <c r="K1898" i="21"/>
  <c r="K1219" i="21"/>
  <c r="J1412" i="21"/>
  <c r="W1415" i="21"/>
  <c r="Y1415" i="21" s="1"/>
  <c r="Z1415" i="21" s="1"/>
  <c r="W1419" i="21"/>
  <c r="Y1419" i="21" s="1"/>
  <c r="Z1419" i="21" s="1"/>
  <c r="J1446" i="21"/>
  <c r="T1440" i="21"/>
  <c r="W1440" i="21" s="1"/>
  <c r="Y1440" i="21" s="1"/>
  <c r="Z1440" i="21" s="1"/>
  <c r="T1540" i="21"/>
  <c r="W1540" i="21" s="1"/>
  <c r="X1540" i="21" s="1"/>
  <c r="W1541" i="21"/>
  <c r="Y1541" i="21" s="1"/>
  <c r="Z1541" i="21" s="1"/>
  <c r="K1541" i="21" s="1"/>
  <c r="I1606" i="21"/>
  <c r="S1606" i="21"/>
  <c r="K1591" i="21"/>
  <c r="J1796" i="21"/>
  <c r="W1814" i="21"/>
  <c r="Y1814" i="21" s="1"/>
  <c r="Z1814" i="21" s="1"/>
  <c r="R26" i="39"/>
  <c r="T26" i="39" s="1"/>
  <c r="I1572" i="21"/>
  <c r="T1579" i="21"/>
  <c r="W1579" i="21" s="1"/>
  <c r="X1579" i="21" s="1"/>
  <c r="K1579" i="21"/>
  <c r="T1593" i="21"/>
  <c r="W1593" i="21" s="1"/>
  <c r="X1593" i="21" s="1"/>
  <c r="K1593" i="21"/>
  <c r="K1595" i="21"/>
  <c r="T1595" i="21"/>
  <c r="W1595" i="21" s="1"/>
  <c r="K1603" i="21"/>
  <c r="T1603" i="21"/>
  <c r="W1603" i="21" s="1"/>
  <c r="X1603" i="21" s="1"/>
  <c r="I1730" i="21"/>
  <c r="N1921" i="21"/>
  <c r="O1921" i="21" s="1"/>
  <c r="O1909" i="21"/>
  <c r="T1169" i="21"/>
  <c r="W1169" i="21" s="1"/>
  <c r="Y1169" i="21" s="1"/>
  <c r="Z1169" i="21" s="1"/>
  <c r="K1169" i="21" s="1"/>
  <c r="T1170" i="21"/>
  <c r="W1170" i="21" s="1"/>
  <c r="Y1170" i="21" s="1"/>
  <c r="Z1170" i="21" s="1"/>
  <c r="K1170" i="21" s="1"/>
  <c r="W1171" i="21"/>
  <c r="Y1171" i="21" s="1"/>
  <c r="Z1171" i="21" s="1"/>
  <c r="K1171" i="21" s="1"/>
  <c r="S1183" i="21"/>
  <c r="T1183" i="21"/>
  <c r="W1183" i="21" s="1"/>
  <c r="Y1183" i="21" s="1"/>
  <c r="Z1183" i="21" s="1"/>
  <c r="K1183" i="21" s="1"/>
  <c r="W1417" i="21"/>
  <c r="Y1417" i="21" s="1"/>
  <c r="Z1417" i="21" s="1"/>
  <c r="T1428" i="21"/>
  <c r="W1428" i="21" s="1"/>
  <c r="Y1428" i="21" s="1"/>
  <c r="Z1428" i="21" s="1"/>
  <c r="S1428" i="21"/>
  <c r="T1543" i="21"/>
  <c r="W1543" i="21" s="1"/>
  <c r="Y1543" i="21" s="1"/>
  <c r="Z1543" i="21" s="1"/>
  <c r="K1543" i="21" s="1"/>
  <c r="S1543" i="21"/>
  <c r="S1552" i="21"/>
  <c r="T1552" i="21"/>
  <c r="W1552" i="21" s="1"/>
  <c r="Y1552" i="21" s="1"/>
  <c r="Z1552" i="21" s="1"/>
  <c r="K1552" i="21" s="1"/>
  <c r="S1817" i="21"/>
  <c r="S1824" i="21"/>
  <c r="T1824" i="21"/>
  <c r="W1824" i="21" s="1"/>
  <c r="Y1824" i="21" s="1"/>
  <c r="Z1824" i="21" s="1"/>
  <c r="W1155" i="21"/>
  <c r="X1155" i="21" s="1"/>
  <c r="K1196" i="21"/>
  <c r="T1215" i="21"/>
  <c r="W1215" i="21" s="1"/>
  <c r="X1215" i="21" s="1"/>
  <c r="S1426" i="21"/>
  <c r="T1427" i="21"/>
  <c r="W1427" i="21" s="1"/>
  <c r="Y1427" i="21" s="1"/>
  <c r="Z1427" i="21" s="1"/>
  <c r="W1555" i="21"/>
  <c r="Y1555" i="21" s="1"/>
  <c r="Z1555" i="21" s="1"/>
  <c r="K1555" i="21" s="1"/>
  <c r="T1576" i="21"/>
  <c r="W1576" i="21" s="1"/>
  <c r="X1576" i="21" s="1"/>
  <c r="K1599" i="21"/>
  <c r="T1599" i="21"/>
  <c r="W1599" i="21" s="1"/>
  <c r="X1599" i="21" s="1"/>
  <c r="J1663" i="21"/>
  <c r="T1173" i="21"/>
  <c r="W1173" i="21" s="1"/>
  <c r="Y1173" i="21" s="1"/>
  <c r="Z1173" i="21" s="1"/>
  <c r="K1173" i="21" s="1"/>
  <c r="J1279" i="21"/>
  <c r="O1322" i="21"/>
  <c r="O1342" i="21"/>
  <c r="O1408" i="21"/>
  <c r="T1430" i="21"/>
  <c r="W1430" i="21" s="1"/>
  <c r="Y1430" i="21" s="1"/>
  <c r="Z1430" i="21" s="1"/>
  <c r="S1430" i="21"/>
  <c r="S1546" i="21"/>
  <c r="T1546" i="21"/>
  <c r="W1546" i="21" s="1"/>
  <c r="Y1546" i="21" s="1"/>
  <c r="Z1546" i="21" s="1"/>
  <c r="K1546" i="21" s="1"/>
  <c r="T1564" i="21"/>
  <c r="W1564" i="21" s="1"/>
  <c r="Y1564" i="21" s="1"/>
  <c r="Z1564" i="21" s="1"/>
  <c r="K1564" i="21" s="1"/>
  <c r="W1565" i="21"/>
  <c r="Y1565" i="21" s="1"/>
  <c r="Z1565" i="21" s="1"/>
  <c r="K1565" i="21" s="1"/>
  <c r="T1575" i="21"/>
  <c r="W1575" i="21" s="1"/>
  <c r="X1575" i="21" s="1"/>
  <c r="K1575" i="21"/>
  <c r="T1586" i="21"/>
  <c r="W1586" i="21" s="1"/>
  <c r="X1586" i="21" s="1"/>
  <c r="K1586" i="21"/>
  <c r="O1792" i="21"/>
  <c r="W1798" i="21"/>
  <c r="Y1798" i="21" s="1"/>
  <c r="Z1798" i="21" s="1"/>
  <c r="W1802" i="21"/>
  <c r="Y1802" i="21" s="1"/>
  <c r="Z1802" i="21" s="1"/>
  <c r="W1806" i="21"/>
  <c r="Y1806" i="21" s="1"/>
  <c r="Z1806" i="21" s="1"/>
  <c r="T1809" i="21"/>
  <c r="W1809" i="21" s="1"/>
  <c r="Y1809" i="21" s="1"/>
  <c r="Z1809" i="21" s="1"/>
  <c r="S1809" i="21"/>
  <c r="T1812" i="21"/>
  <c r="W1812" i="21" s="1"/>
  <c r="Y1812" i="21" s="1"/>
  <c r="Z1812" i="21" s="1"/>
  <c r="S1812" i="21"/>
  <c r="S1814" i="21"/>
  <c r="I1864" i="21"/>
  <c r="O1841" i="21"/>
  <c r="J1864" i="21"/>
  <c r="I1446" i="21"/>
  <c r="I1537" i="21"/>
  <c r="J1572" i="21"/>
  <c r="K1640" i="21"/>
  <c r="I1898" i="21"/>
  <c r="I1921" i="21"/>
  <c r="K1130" i="21"/>
  <c r="K1153" i="21"/>
  <c r="W1161" i="21"/>
  <c r="Y1161" i="21" s="1"/>
  <c r="Z1161" i="21" s="1"/>
  <c r="K1161" i="21" s="1"/>
  <c r="W1174" i="21"/>
  <c r="Y1174" i="21" s="1"/>
  <c r="Z1174" i="21" s="1"/>
  <c r="K1174" i="21" s="1"/>
  <c r="I1279" i="21"/>
  <c r="W1422" i="21"/>
  <c r="Y1422" i="21" s="1"/>
  <c r="Z1422" i="21" s="1"/>
  <c r="K1446" i="21"/>
  <c r="T1562" i="21"/>
  <c r="W1562" i="21" s="1"/>
  <c r="Y1562" i="21" s="1"/>
  <c r="Z1562" i="21" s="1"/>
  <c r="K1562" i="21" s="1"/>
  <c r="T1570" i="21"/>
  <c r="W1570" i="21" s="1"/>
  <c r="Y1570" i="21" s="1"/>
  <c r="Z1570" i="21" s="1"/>
  <c r="K1570" i="21" s="1"/>
  <c r="N1606" i="21"/>
  <c r="O1606" i="21" s="1"/>
  <c r="N1663" i="21"/>
  <c r="O1663" i="21" s="1"/>
  <c r="W1799" i="21"/>
  <c r="Y1799" i="21" s="1"/>
  <c r="Z1799" i="21" s="1"/>
  <c r="W1803" i="21"/>
  <c r="Y1803" i="21" s="1"/>
  <c r="Z1803" i="21" s="1"/>
  <c r="J1830" i="21"/>
  <c r="T1819" i="21"/>
  <c r="T1820" i="21"/>
  <c r="W1820" i="21" s="1"/>
  <c r="Y1820" i="21" s="1"/>
  <c r="Z1820" i="21" s="1"/>
  <c r="T1822" i="21"/>
  <c r="W1822" i="21" s="1"/>
  <c r="Y1822" i="21" s="1"/>
  <c r="Z1822" i="21" s="1"/>
  <c r="S1156" i="21"/>
  <c r="T1156" i="21"/>
  <c r="W1156" i="21" s="1"/>
  <c r="Y1156" i="21" s="1"/>
  <c r="Z1156" i="21" s="1"/>
  <c r="K1156" i="21" s="1"/>
  <c r="K1346" i="21"/>
  <c r="T1584" i="21"/>
  <c r="K1584" i="21"/>
  <c r="K1600" i="21"/>
  <c r="T1600" i="21"/>
  <c r="W1600" i="21" s="1"/>
  <c r="X1600" i="21" s="1"/>
  <c r="T1544" i="21"/>
  <c r="W1544" i="21" s="1"/>
  <c r="Y1544" i="21" s="1"/>
  <c r="Z1544" i="21" s="1"/>
  <c r="K1544" i="21" s="1"/>
  <c r="S1544" i="21"/>
  <c r="T1545" i="21"/>
  <c r="W1545" i="21" s="1"/>
  <c r="Y1545" i="21" s="1"/>
  <c r="Z1545" i="21" s="1"/>
  <c r="K1545" i="21" s="1"/>
  <c r="S1545" i="21"/>
  <c r="T1561" i="21"/>
  <c r="S1561" i="21"/>
  <c r="T1807" i="21"/>
  <c r="W1797" i="21"/>
  <c r="K1211" i="21"/>
  <c r="T1211" i="21"/>
  <c r="W1211" i="21" s="1"/>
  <c r="T1429" i="21"/>
  <c r="W1429" i="21" s="1"/>
  <c r="Y1429" i="21" s="1"/>
  <c r="Z1429" i="21" s="1"/>
  <c r="S1429" i="21"/>
  <c r="N1572" i="21"/>
  <c r="O1549" i="21"/>
  <c r="T1550" i="21"/>
  <c r="S1550" i="21"/>
  <c r="T1551" i="21"/>
  <c r="W1551" i="21" s="1"/>
  <c r="Y1551" i="21" s="1"/>
  <c r="Z1551" i="21" s="1"/>
  <c r="K1551" i="21" s="1"/>
  <c r="S1551" i="21"/>
  <c r="T1568" i="21"/>
  <c r="W1568" i="21" s="1"/>
  <c r="Y1568" i="21" s="1"/>
  <c r="Z1568" i="21" s="1"/>
  <c r="K1568" i="21" s="1"/>
  <c r="S1568" i="21"/>
  <c r="T1569" i="21"/>
  <c r="W1569" i="21" s="1"/>
  <c r="Y1569" i="21" s="1"/>
  <c r="Z1569" i="21" s="1"/>
  <c r="K1569" i="21" s="1"/>
  <c r="S1569" i="21"/>
  <c r="T1585" i="21"/>
  <c r="W1585" i="21" s="1"/>
  <c r="X1585" i="21" s="1"/>
  <c r="K1585" i="21"/>
  <c r="T1206" i="21"/>
  <c r="W1206" i="21" s="1"/>
  <c r="X1206" i="21" s="1"/>
  <c r="K1206" i="21"/>
  <c r="J1309" i="21"/>
  <c r="J1343" i="21" s="1"/>
  <c r="J1346" i="21" s="1"/>
  <c r="T1423" i="21"/>
  <c r="W1413" i="21"/>
  <c r="Y1413" i="21" s="1"/>
  <c r="T1431" i="21"/>
  <c r="W1431" i="21" s="1"/>
  <c r="Y1431" i="21" s="1"/>
  <c r="Z1431" i="21" s="1"/>
  <c r="S1431" i="21"/>
  <c r="K1537" i="21"/>
  <c r="T1558" i="21"/>
  <c r="W1558" i="21" s="1"/>
  <c r="Y1558" i="21" s="1"/>
  <c r="Z1558" i="21" s="1"/>
  <c r="K1558" i="21" s="1"/>
  <c r="S1558" i="21"/>
  <c r="T1559" i="21"/>
  <c r="W1559" i="21" s="1"/>
  <c r="Y1559" i="21" s="1"/>
  <c r="Z1559" i="21" s="1"/>
  <c r="K1559" i="21" s="1"/>
  <c r="S1559" i="21"/>
  <c r="T1573" i="21"/>
  <c r="K1573" i="21"/>
  <c r="T1577" i="21"/>
  <c r="W1577" i="21" s="1"/>
  <c r="X1577" i="21" s="1"/>
  <c r="K1577" i="21"/>
  <c r="T1581" i="21"/>
  <c r="W1581" i="21" s="1"/>
  <c r="X1581" i="21" s="1"/>
  <c r="K1581" i="21"/>
  <c r="I1796" i="21"/>
  <c r="S1825" i="21"/>
  <c r="T1825" i="21"/>
  <c r="W1825" i="21" s="1"/>
  <c r="Y1825" i="21" s="1"/>
  <c r="Z1825" i="21" s="1"/>
  <c r="S1164" i="21"/>
  <c r="T1164" i="21"/>
  <c r="W1164" i="21" s="1"/>
  <c r="Y1164" i="21" s="1"/>
  <c r="Z1164" i="21" s="1"/>
  <c r="K1164" i="21" s="1"/>
  <c r="J1188" i="21"/>
  <c r="K1514" i="21"/>
  <c r="T1588" i="21"/>
  <c r="W1588" i="21" s="1"/>
  <c r="X1588" i="21" s="1"/>
  <c r="K1588" i="21"/>
  <c r="K1602" i="21"/>
  <c r="T1602" i="21"/>
  <c r="W1602" i="21" s="1"/>
  <c r="X1602" i="21" s="1"/>
  <c r="S1797" i="21"/>
  <c r="S1798" i="21"/>
  <c r="S1799" i="21"/>
  <c r="S1800" i="21"/>
  <c r="S1801" i="21"/>
  <c r="S1802" i="21"/>
  <c r="S1803" i="21"/>
  <c r="S1804" i="21"/>
  <c r="S1805" i="21"/>
  <c r="S1806" i="21"/>
  <c r="S1827" i="21"/>
  <c r="T1827" i="21"/>
  <c r="W1827" i="21" s="1"/>
  <c r="Y1827" i="21" s="1"/>
  <c r="Z1827" i="21" s="1"/>
  <c r="O1886" i="21"/>
  <c r="N1898" i="21"/>
  <c r="O1898" i="21" s="1"/>
  <c r="W1159" i="21"/>
  <c r="Y1159" i="21" s="1"/>
  <c r="Z1159" i="21" s="1"/>
  <c r="K1159" i="21" s="1"/>
  <c r="T1162" i="21"/>
  <c r="W1162" i="21" s="1"/>
  <c r="Y1162" i="21" s="1"/>
  <c r="Z1162" i="21" s="1"/>
  <c r="K1162" i="21" s="1"/>
  <c r="S1163" i="21"/>
  <c r="T1180" i="21"/>
  <c r="W1180" i="21" s="1"/>
  <c r="Y1180" i="21" s="1"/>
  <c r="Z1180" i="21" s="1"/>
  <c r="K1180" i="21" s="1"/>
  <c r="W1181" i="21"/>
  <c r="Y1181" i="21" s="1"/>
  <c r="Z1181" i="21" s="1"/>
  <c r="K1181" i="21" s="1"/>
  <c r="S1186" i="21"/>
  <c r="T1186" i="21"/>
  <c r="W1186" i="21" s="1"/>
  <c r="Y1186" i="21" s="1"/>
  <c r="Z1186" i="21" s="1"/>
  <c r="K1186" i="21" s="1"/>
  <c r="K1256" i="21"/>
  <c r="N1279" i="21"/>
  <c r="O1279" i="21" s="1"/>
  <c r="O1267" i="21"/>
  <c r="I1346" i="21"/>
  <c r="K1412" i="21"/>
  <c r="S1432" i="21"/>
  <c r="T1433" i="21"/>
  <c r="W1433" i="21" s="1"/>
  <c r="Y1433" i="21" s="1"/>
  <c r="Z1433" i="21" s="1"/>
  <c r="T1438" i="21"/>
  <c r="W1438" i="21" s="1"/>
  <c r="Y1438" i="21" s="1"/>
  <c r="Z1438" i="21" s="1"/>
  <c r="T1444" i="21"/>
  <c r="W1444" i="21" s="1"/>
  <c r="Y1444" i="21" s="1"/>
  <c r="Z1444" i="21" s="1"/>
  <c r="N1480" i="21"/>
  <c r="O1480" i="21" s="1"/>
  <c r="O1457" i="21"/>
  <c r="T1542" i="21"/>
  <c r="W1542" i="21" s="1"/>
  <c r="Y1542" i="21" s="1"/>
  <c r="Z1542" i="21" s="1"/>
  <c r="K1542" i="21" s="1"/>
  <c r="T1556" i="21"/>
  <c r="W1556" i="21" s="1"/>
  <c r="Y1556" i="21" s="1"/>
  <c r="Z1556" i="21" s="1"/>
  <c r="K1556" i="21" s="1"/>
  <c r="T1566" i="21"/>
  <c r="W1566" i="21" s="1"/>
  <c r="Y1566" i="21" s="1"/>
  <c r="Z1566" i="21" s="1"/>
  <c r="K1566" i="21" s="1"/>
  <c r="T1574" i="21"/>
  <c r="W1574" i="21" s="1"/>
  <c r="X1574" i="21" s="1"/>
  <c r="T1578" i="21"/>
  <c r="W1578" i="21" s="1"/>
  <c r="X1578" i="21" s="1"/>
  <c r="T1582" i="21"/>
  <c r="W1582" i="21" s="1"/>
  <c r="X1582" i="21" s="1"/>
  <c r="T1587" i="21"/>
  <c r="W1587" i="21" s="1"/>
  <c r="X1587" i="21" s="1"/>
  <c r="T1592" i="21"/>
  <c r="W1592" i="21" s="1"/>
  <c r="X1592" i="21" s="1"/>
  <c r="K1592" i="21"/>
  <c r="N1830" i="21"/>
  <c r="O1830" i="21" s="1"/>
  <c r="O1807" i="21"/>
  <c r="T1823" i="21"/>
  <c r="W1823" i="21" s="1"/>
  <c r="Y1823" i="21" s="1"/>
  <c r="Z1823" i="21" s="1"/>
  <c r="S1159" i="21"/>
  <c r="W1167" i="21"/>
  <c r="Y1167" i="21" s="1"/>
  <c r="Z1167" i="21" s="1"/>
  <c r="K1167" i="21" s="1"/>
  <c r="T1168" i="21"/>
  <c r="W1168" i="21" s="1"/>
  <c r="Y1168" i="21" s="1"/>
  <c r="Z1168" i="21" s="1"/>
  <c r="K1168" i="21" s="1"/>
  <c r="T1191" i="21"/>
  <c r="W1191" i="21" s="1"/>
  <c r="X1191" i="21" s="1"/>
  <c r="K1191" i="21"/>
  <c r="I1222" i="21"/>
  <c r="S1222" i="21"/>
  <c r="K1217" i="21"/>
  <c r="N1222" i="21"/>
  <c r="O1222" i="21" s="1"/>
  <c r="K1279" i="21"/>
  <c r="W1414" i="21"/>
  <c r="Y1414" i="21" s="1"/>
  <c r="Z1414" i="21" s="1"/>
  <c r="W1421" i="21"/>
  <c r="Y1421" i="21" s="1"/>
  <c r="Z1421" i="21" s="1"/>
  <c r="S1424" i="21"/>
  <c r="T1425" i="21"/>
  <c r="W1425" i="21" s="1"/>
  <c r="Y1425" i="21" s="1"/>
  <c r="Z1425" i="21" s="1"/>
  <c r="W1426" i="21"/>
  <c r="Y1426" i="21" s="1"/>
  <c r="Z1426" i="21" s="1"/>
  <c r="T1436" i="21"/>
  <c r="W1436" i="21" s="1"/>
  <c r="Y1436" i="21" s="1"/>
  <c r="Z1436" i="21" s="1"/>
  <c r="S1442" i="21"/>
  <c r="T1442" i="21"/>
  <c r="W1442" i="21" s="1"/>
  <c r="Y1442" i="21" s="1"/>
  <c r="Z1442" i="21" s="1"/>
  <c r="I1514" i="21"/>
  <c r="S1539" i="21"/>
  <c r="S1541" i="21"/>
  <c r="S1555" i="21"/>
  <c r="S1565" i="21"/>
  <c r="K1589" i="21"/>
  <c r="T1596" i="21"/>
  <c r="W1596" i="21" s="1"/>
  <c r="X1596" i="21" s="1"/>
  <c r="K1598" i="21"/>
  <c r="T1598" i="21"/>
  <c r="W1598" i="21" s="1"/>
  <c r="X1598" i="21" s="1"/>
  <c r="T1604" i="21"/>
  <c r="W1604" i="21" s="1"/>
  <c r="X1604" i="21" s="1"/>
  <c r="N1640" i="21"/>
  <c r="O1640" i="21" s="1"/>
  <c r="N1727" i="21"/>
  <c r="T1821" i="21"/>
  <c r="W1821" i="21" s="1"/>
  <c r="Y1821" i="21" s="1"/>
  <c r="Z1821" i="21" s="1"/>
  <c r="J1921" i="21"/>
  <c r="W775" i="21"/>
  <c r="Y775" i="21" s="1"/>
  <c r="Z775" i="21" s="1"/>
  <c r="K775" i="21" s="1"/>
  <c r="W779" i="21"/>
  <c r="Y779" i="21" s="1"/>
  <c r="Z779" i="21" s="1"/>
  <c r="K779" i="21" s="1"/>
  <c r="W784" i="21"/>
  <c r="Y784" i="21" s="1"/>
  <c r="Z784" i="21" s="1"/>
  <c r="K784" i="21" s="1"/>
  <c r="W1160" i="21"/>
  <c r="Y1160" i="21" s="1"/>
  <c r="Z1160" i="21" s="1"/>
  <c r="K1160" i="21" s="1"/>
  <c r="W1185" i="21"/>
  <c r="Y1185" i="21" s="1"/>
  <c r="Z1185" i="21" s="1"/>
  <c r="K1185" i="21" s="1"/>
  <c r="I1256" i="21"/>
  <c r="J1256" i="21"/>
  <c r="T1280" i="21"/>
  <c r="W1418" i="21"/>
  <c r="Y1418" i="21" s="1"/>
  <c r="Z1418" i="21" s="1"/>
  <c r="I1480" i="21"/>
  <c r="J1480" i="21"/>
  <c r="N1537" i="21"/>
  <c r="O1537" i="21" s="1"/>
  <c r="N1793" i="21"/>
  <c r="W1808" i="21"/>
  <c r="K1864" i="21"/>
  <c r="W1166" i="21"/>
  <c r="N1188" i="21"/>
  <c r="O1165" i="21"/>
  <c r="T1200" i="21"/>
  <c r="K1200" i="21"/>
  <c r="S1441" i="21"/>
  <c r="T1441" i="21"/>
  <c r="W1441" i="21" s="1"/>
  <c r="Y1441" i="21" s="1"/>
  <c r="Z1441" i="21" s="1"/>
  <c r="S1160" i="21"/>
  <c r="S1161" i="21"/>
  <c r="S1166" i="21"/>
  <c r="S1167" i="21"/>
  <c r="S1174" i="21"/>
  <c r="S1175" i="21"/>
  <c r="S1177" i="21"/>
  <c r="S1184" i="21"/>
  <c r="S1185" i="21"/>
  <c r="W1189" i="21"/>
  <c r="T1204" i="21"/>
  <c r="W1204" i="21" s="1"/>
  <c r="X1204" i="21" s="1"/>
  <c r="K1204" i="21"/>
  <c r="T1216" i="21"/>
  <c r="W1216" i="21" s="1"/>
  <c r="X1216" i="21" s="1"/>
  <c r="K1218" i="21"/>
  <c r="T1218" i="21"/>
  <c r="W1218" i="21" s="1"/>
  <c r="X1218" i="21" s="1"/>
  <c r="S1414" i="21"/>
  <c r="S1416" i="21"/>
  <c r="S1418" i="21"/>
  <c r="S1420" i="21"/>
  <c r="S1422" i="21"/>
  <c r="S1435" i="21"/>
  <c r="S1445" i="21" s="1"/>
  <c r="T1435" i="21"/>
  <c r="S1443" i="21"/>
  <c r="T1443" i="21"/>
  <c r="W1443" i="21" s="1"/>
  <c r="Y1443" i="21" s="1"/>
  <c r="Z1443" i="21" s="1"/>
  <c r="O1502" i="21"/>
  <c r="N1514" i="21"/>
  <c r="O1514" i="21" s="1"/>
  <c r="T1158" i="21"/>
  <c r="W1158" i="21" s="1"/>
  <c r="Y1158" i="21" s="1"/>
  <c r="Z1158" i="21" s="1"/>
  <c r="K1158" i="21" s="1"/>
  <c r="T1172" i="21"/>
  <c r="W1172" i="21" s="1"/>
  <c r="Y1172" i="21" s="1"/>
  <c r="Z1172" i="21" s="1"/>
  <c r="K1172" i="21" s="1"/>
  <c r="T1182" i="21"/>
  <c r="W1182" i="21" s="1"/>
  <c r="Y1182" i="21" s="1"/>
  <c r="Z1182" i="21" s="1"/>
  <c r="K1182" i="21" s="1"/>
  <c r="K1189" i="21"/>
  <c r="T1190" i="21"/>
  <c r="W1190" i="21" s="1"/>
  <c r="X1190" i="21" s="1"/>
  <c r="K1193" i="21"/>
  <c r="T1194" i="21"/>
  <c r="W1194" i="21" s="1"/>
  <c r="X1194" i="21" s="1"/>
  <c r="K1197" i="21"/>
  <c r="T1198" i="21"/>
  <c r="W1198" i="21" s="1"/>
  <c r="X1198" i="21" s="1"/>
  <c r="K1201" i="21"/>
  <c r="T1203" i="21"/>
  <c r="W1203" i="21" s="1"/>
  <c r="X1203" i="21" s="1"/>
  <c r="T1208" i="21"/>
  <c r="W1208" i="21" s="1"/>
  <c r="X1208" i="21" s="1"/>
  <c r="K1208" i="21"/>
  <c r="S1437" i="21"/>
  <c r="T1437" i="21"/>
  <c r="W1437" i="21" s="1"/>
  <c r="Y1437" i="21" s="1"/>
  <c r="Z1437" i="21" s="1"/>
  <c r="S1155" i="21"/>
  <c r="S1157" i="21"/>
  <c r="S1171" i="21"/>
  <c r="S1181" i="21"/>
  <c r="K1205" i="21"/>
  <c r="T1212" i="21"/>
  <c r="W1212" i="21" s="1"/>
  <c r="X1212" i="21" s="1"/>
  <c r="K1214" i="21"/>
  <c r="T1214" i="21"/>
  <c r="W1214" i="21" s="1"/>
  <c r="X1214" i="21" s="1"/>
  <c r="T1220" i="21"/>
  <c r="W1220" i="21" s="1"/>
  <c r="X1220" i="21" s="1"/>
  <c r="N1256" i="21"/>
  <c r="O1256" i="21" s="1"/>
  <c r="N1343" i="21"/>
  <c r="I1412" i="21"/>
  <c r="S1413" i="21"/>
  <c r="S1415" i="21"/>
  <c r="S1417" i="21"/>
  <c r="S1419" i="21"/>
  <c r="S1421" i="21"/>
  <c r="S1439" i="21"/>
  <c r="T1439" i="21"/>
  <c r="W1439" i="21" s="1"/>
  <c r="Y1439" i="21" s="1"/>
  <c r="Z1439" i="21" s="1"/>
  <c r="N1446" i="21"/>
  <c r="O1446" i="21" s="1"/>
  <c r="O1423" i="21"/>
  <c r="J1537" i="21"/>
  <c r="W1054" i="21"/>
  <c r="Y1054" i="21" s="1"/>
  <c r="Z1054" i="21" s="1"/>
  <c r="W1058" i="21"/>
  <c r="Y1058" i="21" s="1"/>
  <c r="Z1058" i="21" s="1"/>
  <c r="N1409" i="21"/>
  <c r="W1424" i="21"/>
  <c r="W1432" i="21"/>
  <c r="Y1432" i="21" s="1"/>
  <c r="Z1432" i="21" s="1"/>
  <c r="K1480" i="21"/>
  <c r="J925" i="21"/>
  <c r="J959" i="21" s="1"/>
  <c r="J962" i="21" s="1"/>
  <c r="I1062" i="21"/>
  <c r="R3" i="39"/>
  <c r="T3" i="39" s="1"/>
  <c r="B23" i="39"/>
  <c r="F46" i="39"/>
  <c r="B63" i="39"/>
  <c r="B180" i="28"/>
  <c r="B4" i="39"/>
  <c r="B65" i="39"/>
  <c r="B192" i="28"/>
  <c r="B25" i="39"/>
  <c r="D25" i="39"/>
  <c r="F3" i="39"/>
  <c r="R30" i="39"/>
  <c r="T30" i="39" s="1"/>
  <c r="R34" i="39"/>
  <c r="T34" i="39" s="1"/>
  <c r="R54" i="39"/>
  <c r="T54" i="39" s="1"/>
  <c r="E45" i="39" s="1"/>
  <c r="F4" i="39"/>
  <c r="B24" i="39"/>
  <c r="B186" i="28"/>
  <c r="S63" i="39"/>
  <c r="R15" i="39"/>
  <c r="T15" i="39" s="1"/>
  <c r="D5" i="39"/>
  <c r="G27" i="39"/>
  <c r="B181" i="28" s="1"/>
  <c r="H47" i="39"/>
  <c r="D187" i="28" s="1"/>
  <c r="D45" i="39"/>
  <c r="H27" i="39"/>
  <c r="D181" i="28" s="1"/>
  <c r="S43" i="39"/>
  <c r="S18" i="21"/>
  <c r="B26" i="39"/>
  <c r="B64" i="39"/>
  <c r="D65" i="39"/>
  <c r="D66" i="39"/>
  <c r="S23" i="39"/>
  <c r="G47" i="39"/>
  <c r="B187" i="28" s="1"/>
  <c r="G67" i="39"/>
  <c r="B193" i="28" s="1"/>
  <c r="B176" i="28"/>
  <c r="R27" i="39"/>
  <c r="B44" i="39"/>
  <c r="R63" i="39"/>
  <c r="T63" i="39" s="1"/>
  <c r="F63" i="39"/>
  <c r="F64" i="39"/>
  <c r="K42" i="21"/>
  <c r="W773" i="21"/>
  <c r="Y773" i="21" s="1"/>
  <c r="Z773" i="21" s="1"/>
  <c r="K773" i="21" s="1"/>
  <c r="W777" i="21"/>
  <c r="Y777" i="21" s="1"/>
  <c r="Z777" i="21" s="1"/>
  <c r="K777" i="21" s="1"/>
  <c r="W786" i="21"/>
  <c r="Y786" i="21" s="1"/>
  <c r="Z786" i="21" s="1"/>
  <c r="K786" i="21" s="1"/>
  <c r="K895" i="21"/>
  <c r="W1029" i="21"/>
  <c r="Y1029" i="21" s="1"/>
  <c r="W1037" i="21"/>
  <c r="Y1037" i="21" s="1"/>
  <c r="Z1037" i="21" s="1"/>
  <c r="W1043" i="21"/>
  <c r="Y1043" i="21" s="1"/>
  <c r="Z1043" i="21" s="1"/>
  <c r="D4" i="39"/>
  <c r="B66" i="39"/>
  <c r="W776" i="21"/>
  <c r="Y776" i="21" s="1"/>
  <c r="Z776" i="21" s="1"/>
  <c r="K776" i="21" s="1"/>
  <c r="W780" i="21"/>
  <c r="Y780" i="21" s="1"/>
  <c r="Z780" i="21" s="1"/>
  <c r="K780" i="21" s="1"/>
  <c r="N804" i="21"/>
  <c r="O804" i="21" s="1"/>
  <c r="N961" i="21"/>
  <c r="O961" i="21" s="1"/>
  <c r="W1032" i="21"/>
  <c r="Y1032" i="21" s="1"/>
  <c r="Z1032" i="21" s="1"/>
  <c r="W1036" i="21"/>
  <c r="Y1036" i="21" s="1"/>
  <c r="Z1036" i="21" s="1"/>
  <c r="W1046" i="21"/>
  <c r="Y1046" i="21" s="1"/>
  <c r="Z1046" i="21" s="1"/>
  <c r="K65" i="21"/>
  <c r="K49" i="21"/>
  <c r="N959" i="21"/>
  <c r="O959" i="21" s="1"/>
  <c r="W1033" i="21"/>
  <c r="Y1033" i="21" s="1"/>
  <c r="Z1033" i="21" s="1"/>
  <c r="K53" i="21"/>
  <c r="K829" i="21"/>
  <c r="J872" i="21"/>
  <c r="O1004" i="21"/>
  <c r="O1024" i="21"/>
  <c r="J1062" i="21"/>
  <c r="J1096" i="21"/>
  <c r="K46" i="21"/>
  <c r="K57" i="21"/>
  <c r="W774" i="21"/>
  <c r="Y774" i="21" s="1"/>
  <c r="Z774" i="21" s="1"/>
  <c r="K774" i="21" s="1"/>
  <c r="W778" i="21"/>
  <c r="Y778" i="21" s="1"/>
  <c r="Z778" i="21" s="1"/>
  <c r="K778" i="21" s="1"/>
  <c r="I804" i="21"/>
  <c r="W783" i="21"/>
  <c r="Y783" i="21" s="1"/>
  <c r="Z783" i="21" s="1"/>
  <c r="K783" i="21" s="1"/>
  <c r="J838" i="21"/>
  <c r="K822" i="21"/>
  <c r="K872" i="21"/>
  <c r="I872" i="21"/>
  <c r="W1030" i="21"/>
  <c r="Y1030" i="21" s="1"/>
  <c r="Z1030" i="21" s="1"/>
  <c r="W1038" i="21"/>
  <c r="Y1038" i="21" s="1"/>
  <c r="Z1038" i="21" s="1"/>
  <c r="W1041" i="21"/>
  <c r="Y1041" i="21" s="1"/>
  <c r="Z1041" i="21" s="1"/>
  <c r="W1045" i="21"/>
  <c r="Y1045" i="21" s="1"/>
  <c r="Z1045" i="21" s="1"/>
  <c r="I1130" i="21"/>
  <c r="J1153" i="21"/>
  <c r="K40" i="21"/>
  <c r="S777" i="21"/>
  <c r="K44" i="21"/>
  <c r="K39" i="21"/>
  <c r="T796" i="21"/>
  <c r="W796" i="21" s="1"/>
  <c r="Y796" i="21" s="1"/>
  <c r="Z796" i="21" s="1"/>
  <c r="K796" i="21" s="1"/>
  <c r="W797" i="21"/>
  <c r="Y797" i="21" s="1"/>
  <c r="Z797" i="21" s="1"/>
  <c r="K797" i="21" s="1"/>
  <c r="K43" i="21"/>
  <c r="K38" i="21"/>
  <c r="K61" i="21"/>
  <c r="K810" i="21"/>
  <c r="K816" i="21"/>
  <c r="K48" i="21"/>
  <c r="K52" i="21"/>
  <c r="K56" i="21"/>
  <c r="K37" i="21"/>
  <c r="K62" i="21"/>
  <c r="K66" i="21"/>
  <c r="S783" i="21"/>
  <c r="T800" i="21"/>
  <c r="W800" i="21" s="1"/>
  <c r="Y800" i="21" s="1"/>
  <c r="Z800" i="21" s="1"/>
  <c r="K800" i="21" s="1"/>
  <c r="W801" i="21"/>
  <c r="Y801" i="21" s="1"/>
  <c r="Z801" i="21" s="1"/>
  <c r="K801" i="21" s="1"/>
  <c r="T808" i="21"/>
  <c r="W808" i="21" s="1"/>
  <c r="X808" i="21" s="1"/>
  <c r="T820" i="21"/>
  <c r="W820" i="21" s="1"/>
  <c r="X820" i="21" s="1"/>
  <c r="S1040" i="21"/>
  <c r="S1043" i="21"/>
  <c r="K50" i="21"/>
  <c r="K54" i="21"/>
  <c r="K59" i="21"/>
  <c r="K63" i="21"/>
  <c r="K67" i="21"/>
  <c r="S771" i="21"/>
  <c r="S773" i="21"/>
  <c r="T833" i="21"/>
  <c r="W833" i="21" s="1"/>
  <c r="X833" i="21" s="1"/>
  <c r="S1030" i="21"/>
  <c r="S1035" i="21"/>
  <c r="S1041" i="21"/>
  <c r="T1044" i="21"/>
  <c r="W1044" i="21" s="1"/>
  <c r="Y1044" i="21" s="1"/>
  <c r="Z1044" i="21" s="1"/>
  <c r="S1045" i="21"/>
  <c r="T1049" i="21"/>
  <c r="T1053" i="21"/>
  <c r="W1053" i="21" s="1"/>
  <c r="Y1053" i="21" s="1"/>
  <c r="Z1053" i="21" s="1"/>
  <c r="S1054" i="21"/>
  <c r="T1057" i="21"/>
  <c r="W1057" i="21" s="1"/>
  <c r="Y1057" i="21" s="1"/>
  <c r="Z1057" i="21" s="1"/>
  <c r="S1058" i="21"/>
  <c r="T287" i="21"/>
  <c r="W287" i="21" s="1"/>
  <c r="Y287" i="21" s="1"/>
  <c r="Z287" i="21" s="1"/>
  <c r="K45" i="21"/>
  <c r="K41" i="21"/>
  <c r="K51" i="21"/>
  <c r="K55" i="21"/>
  <c r="K60" i="21"/>
  <c r="K64" i="21"/>
  <c r="K68" i="21"/>
  <c r="T771" i="21"/>
  <c r="W771" i="21" s="1"/>
  <c r="S791" i="21"/>
  <c r="W793" i="21"/>
  <c r="Y793" i="21" s="1"/>
  <c r="T814" i="21"/>
  <c r="W814" i="21" s="1"/>
  <c r="X814" i="21" s="1"/>
  <c r="W1035" i="21"/>
  <c r="Y1035" i="21" s="1"/>
  <c r="Z1035" i="21" s="1"/>
  <c r="T1047" i="21"/>
  <c r="W1047" i="21" s="1"/>
  <c r="Y1047" i="21" s="1"/>
  <c r="Z1047" i="21" s="1"/>
  <c r="S1051" i="21"/>
  <c r="S1055" i="21"/>
  <c r="S1059" i="21"/>
  <c r="S774" i="21"/>
  <c r="O781" i="21"/>
  <c r="S784" i="21"/>
  <c r="S789" i="21"/>
  <c r="T789" i="21"/>
  <c r="W789" i="21" s="1"/>
  <c r="Y789" i="21" s="1"/>
  <c r="Z789" i="21" s="1"/>
  <c r="K789" i="21" s="1"/>
  <c r="T806" i="21"/>
  <c r="W806" i="21" s="1"/>
  <c r="X806" i="21" s="1"/>
  <c r="T823" i="21"/>
  <c r="W823" i="21" s="1"/>
  <c r="X823" i="21" s="1"/>
  <c r="K962" i="21"/>
  <c r="S1036" i="21"/>
  <c r="S1037" i="21"/>
  <c r="T790" i="21"/>
  <c r="W790" i="21" s="1"/>
  <c r="Y790" i="21" s="1"/>
  <c r="Z790" i="21" s="1"/>
  <c r="K790" i="21" s="1"/>
  <c r="S790" i="21"/>
  <c r="K818" i="21"/>
  <c r="T818" i="21"/>
  <c r="W818" i="21" s="1"/>
  <c r="X818" i="21" s="1"/>
  <c r="T824" i="21"/>
  <c r="W824" i="21" s="1"/>
  <c r="X824" i="21" s="1"/>
  <c r="K831" i="21"/>
  <c r="T831" i="21"/>
  <c r="W831" i="21" s="1"/>
  <c r="X831" i="21" s="1"/>
  <c r="N895" i="21"/>
  <c r="O895" i="21" s="1"/>
  <c r="O883" i="21"/>
  <c r="S778" i="21"/>
  <c r="K812" i="21"/>
  <c r="T812" i="21"/>
  <c r="W812" i="21" s="1"/>
  <c r="X812" i="21" s="1"/>
  <c r="T817" i="21"/>
  <c r="W817" i="21" s="1"/>
  <c r="X817" i="21" s="1"/>
  <c r="K827" i="21"/>
  <c r="T827" i="21"/>
  <c r="W827" i="21" s="1"/>
  <c r="K835" i="21"/>
  <c r="T835" i="21"/>
  <c r="W835" i="21" s="1"/>
  <c r="X835" i="21" s="1"/>
  <c r="I1028" i="21"/>
  <c r="W1031" i="21"/>
  <c r="Y1031" i="21" s="1"/>
  <c r="Z1031" i="21" s="1"/>
  <c r="T1042" i="21"/>
  <c r="W1042" i="21" s="1"/>
  <c r="Y1042" i="21" s="1"/>
  <c r="Z1042" i="21" s="1"/>
  <c r="S1042" i="21"/>
  <c r="S1046" i="21"/>
  <c r="T1048" i="21"/>
  <c r="W1048" i="21" s="1"/>
  <c r="Y1048" i="21" s="1"/>
  <c r="Z1048" i="21" s="1"/>
  <c r="S1048" i="21"/>
  <c r="W1049" i="21"/>
  <c r="Y1049" i="21" s="1"/>
  <c r="Z1049" i="21" s="1"/>
  <c r="T1052" i="21"/>
  <c r="W1052" i="21" s="1"/>
  <c r="Y1052" i="21" s="1"/>
  <c r="Z1052" i="21" s="1"/>
  <c r="S1052" i="21"/>
  <c r="T1056" i="21"/>
  <c r="W1056" i="21" s="1"/>
  <c r="Y1056" i="21" s="1"/>
  <c r="Z1056" i="21" s="1"/>
  <c r="S1056" i="21"/>
  <c r="T1060" i="21"/>
  <c r="W1060" i="21" s="1"/>
  <c r="Y1060" i="21" s="1"/>
  <c r="Z1060" i="21" s="1"/>
  <c r="S1060" i="21"/>
  <c r="J1130" i="21"/>
  <c r="I895" i="21"/>
  <c r="N1025" i="21"/>
  <c r="O1025" i="21" s="1"/>
  <c r="K1062" i="21"/>
  <c r="K1096" i="21"/>
  <c r="I1096" i="21"/>
  <c r="J804" i="21"/>
  <c r="W787" i="21"/>
  <c r="Y787" i="21" s="1"/>
  <c r="Z787" i="21" s="1"/>
  <c r="K787" i="21" s="1"/>
  <c r="W791" i="21"/>
  <c r="Y791" i="21" s="1"/>
  <c r="Z791" i="21" s="1"/>
  <c r="K791" i="21" s="1"/>
  <c r="T795" i="21"/>
  <c r="W795" i="21" s="1"/>
  <c r="Y795" i="21" s="1"/>
  <c r="Z795" i="21" s="1"/>
  <c r="K795" i="21" s="1"/>
  <c r="T799" i="21"/>
  <c r="W799" i="21" s="1"/>
  <c r="Y799" i="21" s="1"/>
  <c r="Z799" i="21" s="1"/>
  <c r="K799" i="21" s="1"/>
  <c r="S838" i="21"/>
  <c r="J895" i="21"/>
  <c r="O938" i="21"/>
  <c r="W1034" i="21"/>
  <c r="Y1034" i="21" s="1"/>
  <c r="Z1034" i="21" s="1"/>
  <c r="N1062" i="21"/>
  <c r="O1062" i="21" s="1"/>
  <c r="I1153" i="21"/>
  <c r="N1153" i="21"/>
  <c r="O1153" i="21" s="1"/>
  <c r="X816" i="21"/>
  <c r="W782" i="21"/>
  <c r="S775" i="21"/>
  <c r="S779" i="21"/>
  <c r="T788" i="21"/>
  <c r="W788" i="21" s="1"/>
  <c r="Y788" i="21" s="1"/>
  <c r="Z788" i="21" s="1"/>
  <c r="K788" i="21" s="1"/>
  <c r="S788" i="21"/>
  <c r="S1032" i="21"/>
  <c r="T772" i="21"/>
  <c r="W772" i="21" s="1"/>
  <c r="S776" i="21"/>
  <c r="S780" i="21"/>
  <c r="S782" i="21"/>
  <c r="T785" i="21"/>
  <c r="W785" i="21" s="1"/>
  <c r="Y785" i="21" s="1"/>
  <c r="Z785" i="21" s="1"/>
  <c r="K785" i="21" s="1"/>
  <c r="S786" i="21"/>
  <c r="S787" i="21"/>
  <c r="S793" i="21"/>
  <c r="S797" i="21"/>
  <c r="S801" i="21"/>
  <c r="K805" i="21"/>
  <c r="T805" i="21"/>
  <c r="K807" i="21"/>
  <c r="T807" i="21"/>
  <c r="W807" i="21" s="1"/>
  <c r="X807" i="21" s="1"/>
  <c r="K809" i="21"/>
  <c r="T809" i="21"/>
  <c r="W809" i="21" s="1"/>
  <c r="X809" i="21" s="1"/>
  <c r="K811" i="21"/>
  <c r="T811" i="21"/>
  <c r="W811" i="21" s="1"/>
  <c r="X811" i="21" s="1"/>
  <c r="K813" i="21"/>
  <c r="T813" i="21"/>
  <c r="W813" i="21" s="1"/>
  <c r="X813" i="21" s="1"/>
  <c r="T825" i="21"/>
  <c r="W825" i="21" s="1"/>
  <c r="X825" i="21" s="1"/>
  <c r="J1028" i="21"/>
  <c r="S1034" i="21"/>
  <c r="S1038" i="21"/>
  <c r="W1040" i="21"/>
  <c r="K819" i="21"/>
  <c r="T819" i="21"/>
  <c r="W819" i="21" s="1"/>
  <c r="X819" i="21" s="1"/>
  <c r="T794" i="21"/>
  <c r="W794" i="21" s="1"/>
  <c r="Y794" i="21" s="1"/>
  <c r="Z794" i="21" s="1"/>
  <c r="K794" i="21" s="1"/>
  <c r="S794" i="21"/>
  <c r="T798" i="21"/>
  <c r="W798" i="21" s="1"/>
  <c r="Y798" i="21" s="1"/>
  <c r="Z798" i="21" s="1"/>
  <c r="K798" i="21" s="1"/>
  <c r="S798" i="21"/>
  <c r="T802" i="21"/>
  <c r="W802" i="21" s="1"/>
  <c r="Y802" i="21" s="1"/>
  <c r="Z802" i="21" s="1"/>
  <c r="K802" i="21" s="1"/>
  <c r="S802" i="21"/>
  <c r="K1028" i="21"/>
  <c r="N1096" i="21"/>
  <c r="O1096" i="21" s="1"/>
  <c r="N838" i="21"/>
  <c r="O838" i="21" s="1"/>
  <c r="T1039" i="21"/>
  <c r="I838" i="21"/>
  <c r="T821" i="21"/>
  <c r="W821" i="21" s="1"/>
  <c r="X821" i="21" s="1"/>
  <c r="K828" i="21"/>
  <c r="T828" i="21"/>
  <c r="W828" i="21" s="1"/>
  <c r="X828" i="21" s="1"/>
  <c r="K830" i="21"/>
  <c r="T830" i="21"/>
  <c r="W830" i="21" s="1"/>
  <c r="X830" i="21" s="1"/>
  <c r="K832" i="21"/>
  <c r="T832" i="21"/>
  <c r="W832" i="21" s="1"/>
  <c r="X832" i="21" s="1"/>
  <c r="K834" i="21"/>
  <c r="T834" i="21"/>
  <c r="W834" i="21" s="1"/>
  <c r="X834" i="21" s="1"/>
  <c r="K836" i="21"/>
  <c r="T836" i="21"/>
  <c r="W836" i="21" s="1"/>
  <c r="X836" i="21" s="1"/>
  <c r="N872" i="21"/>
  <c r="O872" i="21" s="1"/>
  <c r="I962" i="21"/>
  <c r="S1029" i="21"/>
  <c r="S1031" i="21"/>
  <c r="S1033" i="21"/>
  <c r="W1051" i="21"/>
  <c r="W1055" i="21"/>
  <c r="Y1055" i="21" s="1"/>
  <c r="Z1055" i="21" s="1"/>
  <c r="W1059" i="21"/>
  <c r="Y1059" i="21" s="1"/>
  <c r="Z1059" i="21" s="1"/>
  <c r="N1130" i="21"/>
  <c r="O1130" i="21" s="1"/>
  <c r="W658" i="21"/>
  <c r="Y658" i="21" s="1"/>
  <c r="Z658" i="21" s="1"/>
  <c r="S288" i="21"/>
  <c r="S270" i="21"/>
  <c r="S261" i="21"/>
  <c r="T22" i="21"/>
  <c r="W22" i="21" s="1"/>
  <c r="Y22" i="21" s="1"/>
  <c r="Z22" i="21" s="1"/>
  <c r="W405" i="21"/>
  <c r="Y405" i="21" s="1"/>
  <c r="Z405" i="21" s="1"/>
  <c r="W675" i="21"/>
  <c r="Y675" i="21" s="1"/>
  <c r="Z675" i="21" s="1"/>
  <c r="S647" i="21"/>
  <c r="S389" i="21"/>
  <c r="S290" i="21"/>
  <c r="W289" i="21"/>
  <c r="Y289" i="21" s="1"/>
  <c r="Z289" i="21" s="1"/>
  <c r="W276" i="21"/>
  <c r="Y276" i="21" s="1"/>
  <c r="Z276" i="21" s="1"/>
  <c r="T266" i="21"/>
  <c r="W266" i="21" s="1"/>
  <c r="Y266" i="21" s="1"/>
  <c r="Z266" i="21" s="1"/>
  <c r="W410" i="21"/>
  <c r="Y410" i="21" s="1"/>
  <c r="Z410" i="21" s="1"/>
  <c r="K410" i="21" s="1"/>
  <c r="S410" i="21"/>
  <c r="T407" i="21"/>
  <c r="W407" i="21" s="1"/>
  <c r="Y407" i="21" s="1"/>
  <c r="Z407" i="21" s="1"/>
  <c r="T406" i="21"/>
  <c r="W406" i="21" s="1"/>
  <c r="Y406" i="21" s="1"/>
  <c r="Z406" i="21" s="1"/>
  <c r="T403" i="21"/>
  <c r="W403" i="21" s="1"/>
  <c r="Y403" i="21" s="1"/>
  <c r="Z403" i="21" s="1"/>
  <c r="S402" i="21"/>
  <c r="S673" i="21"/>
  <c r="S278" i="21"/>
  <c r="S662" i="21"/>
  <c r="T281" i="21"/>
  <c r="W281" i="21" s="1"/>
  <c r="Y281" i="21" s="1"/>
  <c r="Z281" i="21" s="1"/>
  <c r="T280" i="21"/>
  <c r="W280" i="21" s="1"/>
  <c r="Y280" i="21" s="1"/>
  <c r="Z280" i="21" s="1"/>
  <c r="S12" i="21"/>
  <c r="T664" i="21"/>
  <c r="W664" i="21" s="1"/>
  <c r="Y664" i="21" s="1"/>
  <c r="Z664" i="21" s="1"/>
  <c r="S395" i="21"/>
  <c r="S272" i="21"/>
  <c r="T34" i="21"/>
  <c r="W34" i="21" s="1"/>
  <c r="Y34" i="21" s="1"/>
  <c r="Z34" i="21" s="1"/>
  <c r="S33" i="21"/>
  <c r="T9" i="21"/>
  <c r="W9" i="21" s="1"/>
  <c r="Y9" i="21" s="1"/>
  <c r="Z9" i="21" s="1"/>
  <c r="T4" i="21"/>
  <c r="W4" i="21" s="1"/>
  <c r="S415" i="21"/>
  <c r="T415" i="21"/>
  <c r="W415" i="21" s="1"/>
  <c r="Y415" i="21" s="1"/>
  <c r="Z415" i="21" s="1"/>
  <c r="T29" i="21"/>
  <c r="W29" i="21" s="1"/>
  <c r="Y29" i="21" s="1"/>
  <c r="Z29" i="21" s="1"/>
  <c r="S29" i="21"/>
  <c r="T274" i="21"/>
  <c r="W274" i="21" s="1"/>
  <c r="Y274" i="21" s="1"/>
  <c r="Z274" i="21" s="1"/>
  <c r="S274" i="21"/>
  <c r="W264" i="21"/>
  <c r="Y264" i="21" s="1"/>
  <c r="Z264" i="21" s="1"/>
  <c r="S30" i="21"/>
  <c r="T30" i="21"/>
  <c r="W30" i="21" s="1"/>
  <c r="Y30" i="21" s="1"/>
  <c r="Z30" i="21" s="1"/>
  <c r="T418" i="21"/>
  <c r="W418" i="21" s="1"/>
  <c r="Y418" i="21" s="1"/>
  <c r="Z418" i="21" s="1"/>
  <c r="S418" i="21"/>
  <c r="S413" i="21"/>
  <c r="T413" i="21"/>
  <c r="W413" i="21" s="1"/>
  <c r="Y413" i="21" s="1"/>
  <c r="Z413" i="21" s="1"/>
  <c r="W3" i="21"/>
  <c r="Y3" i="21" s="1"/>
  <c r="T660" i="21"/>
  <c r="W660" i="21" s="1"/>
  <c r="Y660" i="21" s="1"/>
  <c r="Z660" i="21" s="1"/>
  <c r="S660" i="21"/>
  <c r="T654" i="21"/>
  <c r="W654" i="21" s="1"/>
  <c r="Y654" i="21" s="1"/>
  <c r="Z654" i="21" s="1"/>
  <c r="T650" i="21"/>
  <c r="W650" i="21" s="1"/>
  <c r="Y650" i="21" s="1"/>
  <c r="Z650" i="21" s="1"/>
  <c r="T414" i="21"/>
  <c r="W414" i="21" s="1"/>
  <c r="Y414" i="21" s="1"/>
  <c r="Z414" i="21" s="1"/>
  <c r="S414" i="21"/>
  <c r="T393" i="21"/>
  <c r="W393" i="21" s="1"/>
  <c r="Y393" i="21" s="1"/>
  <c r="Z393" i="21" s="1"/>
  <c r="T392" i="21"/>
  <c r="W392" i="21" s="1"/>
  <c r="Y392" i="21" s="1"/>
  <c r="Z392" i="21" s="1"/>
  <c r="T387" i="21"/>
  <c r="W387" i="21" s="1"/>
  <c r="Y387" i="21" s="1"/>
  <c r="S387" i="21"/>
  <c r="S276" i="21"/>
  <c r="T269" i="21"/>
  <c r="W269" i="21" s="1"/>
  <c r="Y269" i="21" s="1"/>
  <c r="Z269" i="21" s="1"/>
  <c r="T262" i="21"/>
  <c r="W262" i="21" s="1"/>
  <c r="Y262" i="21" s="1"/>
  <c r="Z262" i="21" s="1"/>
  <c r="W662" i="21"/>
  <c r="Y662" i="21" s="1"/>
  <c r="Z662" i="21" s="1"/>
  <c r="W402" i="21"/>
  <c r="Y402" i="21" s="1"/>
  <c r="Z402" i="21" s="1"/>
  <c r="K402" i="21" s="1"/>
  <c r="W278" i="21"/>
  <c r="Y278" i="21" s="1"/>
  <c r="Z278" i="21" s="1"/>
  <c r="T667" i="21"/>
  <c r="W667" i="21" s="1"/>
  <c r="Y667" i="21" s="1"/>
  <c r="Z667" i="21" s="1"/>
  <c r="K667" i="21" s="1"/>
  <c r="S667" i="21"/>
  <c r="S8" i="21"/>
  <c r="T8" i="21"/>
  <c r="W8" i="21" s="1"/>
  <c r="Y8" i="21" s="1"/>
  <c r="Z8" i="21" s="1"/>
  <c r="S668" i="21"/>
  <c r="T668" i="21"/>
  <c r="W668" i="21" s="1"/>
  <c r="Y668" i="21" s="1"/>
  <c r="Z668" i="21" s="1"/>
  <c r="K668" i="21" s="1"/>
  <c r="T268" i="21"/>
  <c r="W268" i="21" s="1"/>
  <c r="Y268" i="21" s="1"/>
  <c r="Z268" i="21" s="1"/>
  <c r="S268" i="21"/>
  <c r="S5" i="21"/>
  <c r="T5" i="21"/>
  <c r="W5" i="21" s="1"/>
  <c r="Y5" i="21" s="1"/>
  <c r="Z5" i="21" s="1"/>
  <c r="T656" i="21"/>
  <c r="W656" i="21" s="1"/>
  <c r="Y656" i="21" s="1"/>
  <c r="Z656" i="21" s="1"/>
  <c r="K656" i="21" s="1"/>
  <c r="S656" i="21"/>
  <c r="S285" i="21"/>
  <c r="T285" i="21"/>
  <c r="W285" i="21" s="1"/>
  <c r="Y285" i="21" s="1"/>
  <c r="Z285" i="21" s="1"/>
  <c r="T399" i="21"/>
  <c r="W399" i="21" s="1"/>
  <c r="Y399" i="21" s="1"/>
  <c r="Z399" i="21" s="1"/>
  <c r="K399" i="21" s="1"/>
  <c r="S289" i="21"/>
  <c r="S25" i="21"/>
  <c r="T25" i="21"/>
  <c r="W25" i="21" s="1"/>
  <c r="T15" i="21"/>
  <c r="W15" i="21" s="1"/>
  <c r="Y15" i="21" s="1"/>
  <c r="Z15" i="21" s="1"/>
  <c r="S15" i="21"/>
  <c r="S669" i="21"/>
  <c r="T669" i="21"/>
  <c r="W669" i="21" s="1"/>
  <c r="Y669" i="21" s="1"/>
  <c r="Z669" i="21" s="1"/>
  <c r="K669" i="21" s="1"/>
  <c r="T645" i="21"/>
  <c r="W645" i="21" s="1"/>
  <c r="Y645" i="21" s="1"/>
  <c r="Z645" i="21" s="1"/>
  <c r="K645" i="21" s="1"/>
  <c r="S645" i="21"/>
  <c r="T286" i="21"/>
  <c r="W286" i="21" s="1"/>
  <c r="Y286" i="21" s="1"/>
  <c r="Z286" i="21" s="1"/>
  <c r="S286" i="21"/>
  <c r="S26" i="21"/>
  <c r="T26" i="21"/>
  <c r="W26" i="21" s="1"/>
  <c r="Y26" i="21" s="1"/>
  <c r="Z26" i="21" s="1"/>
  <c r="S23" i="21"/>
  <c r="T23" i="21"/>
  <c r="W23" i="21" s="1"/>
  <c r="Y23" i="21" s="1"/>
  <c r="Z23" i="21" s="1"/>
  <c r="S672" i="21"/>
  <c r="T672" i="21"/>
  <c r="W672" i="21" s="1"/>
  <c r="Y672" i="21" s="1"/>
  <c r="Z672" i="21" s="1"/>
  <c r="T659" i="21"/>
  <c r="W659" i="21" s="1"/>
  <c r="Y659" i="21" s="1"/>
  <c r="Z659" i="21" s="1"/>
  <c r="S659" i="21"/>
  <c r="S651" i="21"/>
  <c r="T651" i="21"/>
  <c r="W651" i="21" s="1"/>
  <c r="Y651" i="21" s="1"/>
  <c r="Z651" i="21" s="1"/>
  <c r="S273" i="21"/>
  <c r="T273" i="21"/>
  <c r="W273" i="21" s="1"/>
  <c r="Y273" i="21" s="1"/>
  <c r="Z273" i="21" s="1"/>
  <c r="S265" i="21"/>
  <c r="T265" i="21"/>
  <c r="W265" i="21" s="1"/>
  <c r="Y265" i="21" s="1"/>
  <c r="Z265" i="21" s="1"/>
  <c r="T32" i="21"/>
  <c r="W32" i="21" s="1"/>
  <c r="Y32" i="21" s="1"/>
  <c r="Z32" i="21" s="1"/>
  <c r="S32" i="21"/>
  <c r="S3" i="21"/>
  <c r="T128" i="21"/>
  <c r="T416" i="21"/>
  <c r="W416" i="21" s="1"/>
  <c r="Y416" i="21" s="1"/>
  <c r="Z416" i="21" s="1"/>
  <c r="S416" i="21"/>
  <c r="W411" i="21"/>
  <c r="Y411" i="21" s="1"/>
  <c r="Z411" i="21" s="1"/>
  <c r="K411" i="21" s="1"/>
  <c r="S398" i="21"/>
  <c r="T398" i="21"/>
  <c r="W398" i="21" s="1"/>
  <c r="S390" i="21"/>
  <c r="T390" i="21"/>
  <c r="W390" i="21" s="1"/>
  <c r="Y390" i="21" s="1"/>
  <c r="Z390" i="21" s="1"/>
  <c r="T292" i="21"/>
  <c r="W292" i="21" s="1"/>
  <c r="Y292" i="21" s="1"/>
  <c r="Z292" i="21" s="1"/>
  <c r="S292" i="21"/>
  <c r="S283" i="21"/>
  <c r="T283" i="21"/>
  <c r="S275" i="21"/>
  <c r="T275" i="21"/>
  <c r="W275" i="21" s="1"/>
  <c r="Y275" i="21" s="1"/>
  <c r="Z275" i="21" s="1"/>
  <c r="T21" i="21"/>
  <c r="W21" i="21" s="1"/>
  <c r="Y21" i="21" s="1"/>
  <c r="Z21" i="21" s="1"/>
  <c r="S21" i="21"/>
  <c r="W12" i="21"/>
  <c r="Y12" i="21" s="1"/>
  <c r="Z12" i="21" s="1"/>
  <c r="T649" i="21"/>
  <c r="W649" i="21" s="1"/>
  <c r="Y649" i="21" s="1"/>
  <c r="Z649" i="21" s="1"/>
  <c r="S649" i="21"/>
  <c r="W647" i="21"/>
  <c r="Y647" i="21" s="1"/>
  <c r="Z647" i="21" s="1"/>
  <c r="W412" i="21"/>
  <c r="Y412" i="21" s="1"/>
  <c r="Z412" i="21" s="1"/>
  <c r="K412" i="21" s="1"/>
  <c r="T391" i="21"/>
  <c r="W391" i="21" s="1"/>
  <c r="Y391" i="21" s="1"/>
  <c r="Z391" i="21" s="1"/>
  <c r="S391" i="21"/>
  <c r="W389" i="21"/>
  <c r="Y389" i="21" s="1"/>
  <c r="Z389" i="21" s="1"/>
  <c r="W33" i="21"/>
  <c r="Y33" i="21" s="1"/>
  <c r="Z33" i="21" s="1"/>
  <c r="W395" i="21"/>
  <c r="Y395" i="21" s="1"/>
  <c r="Z395" i="21" s="1"/>
  <c r="S661" i="21"/>
  <c r="T661" i="21"/>
  <c r="W661" i="21" s="1"/>
  <c r="Y661" i="21" s="1"/>
  <c r="Z661" i="21" s="1"/>
  <c r="S409" i="21"/>
  <c r="T409" i="21"/>
  <c r="S263" i="21"/>
  <c r="T263" i="21"/>
  <c r="W263" i="21" s="1"/>
  <c r="Y263" i="21" s="1"/>
  <c r="Z263" i="21" s="1"/>
  <c r="W59" i="21"/>
  <c r="T69" i="21"/>
  <c r="T676" i="21"/>
  <c r="W676" i="21" s="1"/>
  <c r="Y676" i="21" s="1"/>
  <c r="Z676" i="21" s="1"/>
  <c r="S676" i="21"/>
  <c r="T401" i="21"/>
  <c r="W401" i="21" s="1"/>
  <c r="Y401" i="21" s="1"/>
  <c r="Z401" i="21" s="1"/>
  <c r="K401" i="21" s="1"/>
  <c r="S401" i="21"/>
  <c r="S663" i="21"/>
  <c r="T663" i="21"/>
  <c r="W663" i="21" s="1"/>
  <c r="Y663" i="21" s="1"/>
  <c r="Z663" i="21" s="1"/>
  <c r="S657" i="21"/>
  <c r="T657" i="21"/>
  <c r="W657" i="21" s="1"/>
  <c r="Y657" i="21" s="1"/>
  <c r="Z657" i="21" s="1"/>
  <c r="T653" i="21"/>
  <c r="W653" i="21" s="1"/>
  <c r="Y653" i="21" s="1"/>
  <c r="Z653" i="21" s="1"/>
  <c r="S653" i="21"/>
  <c r="S388" i="21"/>
  <c r="T388" i="21"/>
  <c r="S674" i="21"/>
  <c r="T674" i="21"/>
  <c r="W674" i="21" s="1"/>
  <c r="Y674" i="21" s="1"/>
  <c r="Z674" i="21" s="1"/>
  <c r="T671" i="21"/>
  <c r="W671" i="21" s="1"/>
  <c r="Y671" i="21" s="1"/>
  <c r="Z671" i="21" s="1"/>
  <c r="S671" i="21"/>
  <c r="S646" i="21"/>
  <c r="T646" i="21"/>
  <c r="W646" i="21" s="1"/>
  <c r="Y646" i="21" s="1"/>
  <c r="Z646" i="21" s="1"/>
  <c r="K646" i="21" s="1"/>
  <c r="W261" i="21"/>
  <c r="S291" i="21"/>
  <c r="T291" i="21"/>
  <c r="W291" i="21" s="1"/>
  <c r="Y291" i="21" s="1"/>
  <c r="Z291" i="21" s="1"/>
  <c r="T10" i="21"/>
  <c r="W10" i="21" s="1"/>
  <c r="Y10" i="21" s="1"/>
  <c r="Z10" i="21" s="1"/>
  <c r="S10" i="21"/>
  <c r="S277" i="21"/>
  <c r="T277" i="21"/>
  <c r="W277" i="21" s="1"/>
  <c r="Y277" i="21" s="1"/>
  <c r="Z277" i="21" s="1"/>
  <c r="W272" i="21"/>
  <c r="S14" i="21"/>
  <c r="T14" i="21"/>
  <c r="S675" i="21"/>
  <c r="W673" i="21"/>
  <c r="Y673" i="21" s="1"/>
  <c r="Z673" i="21" s="1"/>
  <c r="S670" i="21"/>
  <c r="T670" i="21"/>
  <c r="W670" i="21" s="1"/>
  <c r="Y670" i="21" s="1"/>
  <c r="Z670" i="21" s="1"/>
  <c r="K670" i="21" s="1"/>
  <c r="S658" i="21"/>
  <c r="S652" i="21"/>
  <c r="T652" i="21"/>
  <c r="W652" i="21" s="1"/>
  <c r="Y652" i="21" s="1"/>
  <c r="Z652" i="21" s="1"/>
  <c r="T417" i="21"/>
  <c r="W417" i="21" s="1"/>
  <c r="Y417" i="21" s="1"/>
  <c r="Z417" i="21" s="1"/>
  <c r="S405" i="21"/>
  <c r="T404" i="21"/>
  <c r="W404" i="21" s="1"/>
  <c r="Y404" i="21" s="1"/>
  <c r="Z404" i="21" s="1"/>
  <c r="S404" i="21"/>
  <c r="S394" i="21"/>
  <c r="T394" i="21"/>
  <c r="W394" i="21" s="1"/>
  <c r="Y394" i="21" s="1"/>
  <c r="Z394" i="21" s="1"/>
  <c r="T284" i="21"/>
  <c r="W284" i="21" s="1"/>
  <c r="Y284" i="21" s="1"/>
  <c r="Z284" i="21" s="1"/>
  <c r="S284" i="21"/>
  <c r="S264" i="21"/>
  <c r="S665" i="21"/>
  <c r="T665" i="21"/>
  <c r="W665" i="21" s="1"/>
  <c r="Y665" i="21" s="1"/>
  <c r="Z665" i="21" s="1"/>
  <c r="S648" i="21"/>
  <c r="T648" i="21"/>
  <c r="W648" i="21" s="1"/>
  <c r="Y648" i="21" s="1"/>
  <c r="Z648" i="21" s="1"/>
  <c r="T400" i="21"/>
  <c r="W400" i="21" s="1"/>
  <c r="Y400" i="21" s="1"/>
  <c r="Z400" i="21" s="1"/>
  <c r="K400" i="21" s="1"/>
  <c r="S400" i="21"/>
  <c r="S396" i="21"/>
  <c r="T396" i="21"/>
  <c r="W396" i="21" s="1"/>
  <c r="Y396" i="21" s="1"/>
  <c r="Z396" i="21" s="1"/>
  <c r="S279" i="21"/>
  <c r="T279" i="21"/>
  <c r="W279" i="21" s="1"/>
  <c r="Y279" i="21" s="1"/>
  <c r="Z279" i="21" s="1"/>
  <c r="W48" i="21"/>
  <c r="T58" i="21"/>
  <c r="T28" i="21"/>
  <c r="W28" i="21" s="1"/>
  <c r="Y28" i="21" s="1"/>
  <c r="Z28" i="21" s="1"/>
  <c r="S28" i="21"/>
  <c r="T20" i="21"/>
  <c r="W20" i="21" s="1"/>
  <c r="Y20" i="21" s="1"/>
  <c r="Z20" i="21" s="1"/>
  <c r="S20" i="21"/>
  <c r="S19" i="21"/>
  <c r="T19" i="21"/>
  <c r="W19" i="21" s="1"/>
  <c r="Y19" i="21" s="1"/>
  <c r="Z19" i="21" s="1"/>
  <c r="W288" i="21"/>
  <c r="Y288" i="21" s="1"/>
  <c r="Z288" i="21" s="1"/>
  <c r="W270" i="21"/>
  <c r="Y270" i="21" s="1"/>
  <c r="Z270" i="21" s="1"/>
  <c r="S267" i="21"/>
  <c r="T267" i="21"/>
  <c r="W267" i="21" s="1"/>
  <c r="Y267" i="21" s="1"/>
  <c r="Z267" i="21" s="1"/>
  <c r="S70" i="21"/>
  <c r="W37" i="21"/>
  <c r="T47" i="21"/>
  <c r="T31" i="21"/>
  <c r="W31" i="21" s="1"/>
  <c r="Y31" i="21" s="1"/>
  <c r="Z31" i="21" s="1"/>
  <c r="S31" i="21"/>
  <c r="T17" i="21"/>
  <c r="W17" i="21" s="1"/>
  <c r="Y17" i="21" s="1"/>
  <c r="Z17" i="21" s="1"/>
  <c r="S17" i="21"/>
  <c r="T7" i="21"/>
  <c r="W7" i="21" s="1"/>
  <c r="Y7" i="21" s="1"/>
  <c r="Z7" i="21" s="1"/>
  <c r="S7" i="21"/>
  <c r="W290" i="21"/>
  <c r="Y290" i="21" s="1"/>
  <c r="Z290" i="21" s="1"/>
  <c r="T6" i="21"/>
  <c r="W6" i="21" s="1"/>
  <c r="Y6" i="21" s="1"/>
  <c r="Z6" i="21" s="1"/>
  <c r="S6" i="21"/>
  <c r="T27" i="21"/>
  <c r="W27" i="21" s="1"/>
  <c r="Y27" i="21" s="1"/>
  <c r="Z27" i="21" s="1"/>
  <c r="S27" i="21"/>
  <c r="T11" i="21"/>
  <c r="W11" i="21" s="1"/>
  <c r="Y11" i="21" s="1"/>
  <c r="Z11" i="21" s="1"/>
  <c r="S11" i="21"/>
  <c r="W18" i="21"/>
  <c r="Y18" i="21" s="1"/>
  <c r="Z18" i="21" s="1"/>
  <c r="S16" i="21"/>
  <c r="T16" i="21"/>
  <c r="W16" i="21" s="1"/>
  <c r="Y16" i="21" s="1"/>
  <c r="Z16" i="21" s="1"/>
  <c r="B174" i="28"/>
  <c r="G1" i="39"/>
  <c r="F65" i="39"/>
  <c r="G7" i="39"/>
  <c r="B175" i="28" s="1"/>
  <c r="F26" i="39"/>
  <c r="S45" i="39"/>
  <c r="G41" i="39"/>
  <c r="H7" i="39"/>
  <c r="D175" i="28" s="1"/>
  <c r="R7" i="39"/>
  <c r="B5" i="39"/>
  <c r="F5" i="39"/>
  <c r="F6" i="39"/>
  <c r="F23" i="39"/>
  <c r="B46" i="39"/>
  <c r="F44" i="39"/>
  <c r="R71" i="39"/>
  <c r="R75" i="39"/>
  <c r="F25" i="39"/>
  <c r="B3" i="39"/>
  <c r="R4" i="39"/>
  <c r="T4" i="39" s="1"/>
  <c r="R12" i="39"/>
  <c r="R36" i="39"/>
  <c r="T36" i="39" s="1"/>
  <c r="R48" i="39"/>
  <c r="T48" i="39" s="1"/>
  <c r="R56" i="39"/>
  <c r="T56" i="39" s="1"/>
  <c r="R68" i="39"/>
  <c r="T68" i="39" s="1"/>
  <c r="R72" i="39"/>
  <c r="T72" i="39" s="1"/>
  <c r="R76" i="39"/>
  <c r="T76" i="39" s="1"/>
  <c r="B6" i="39"/>
  <c r="R10" i="39"/>
  <c r="T10" i="39" s="1"/>
  <c r="S27" i="39"/>
  <c r="D24" i="39" s="1"/>
  <c r="G21" i="39"/>
  <c r="T43" i="39"/>
  <c r="H67" i="39"/>
  <c r="D193" i="28" s="1"/>
  <c r="R17" i="39"/>
  <c r="T17" i="39" s="1"/>
  <c r="D44" i="39"/>
  <c r="D46" i="39"/>
  <c r="S67" i="39"/>
  <c r="D64" i="39" s="1"/>
  <c r="G61" i="39"/>
  <c r="F66" i="39"/>
  <c r="R38" i="39"/>
  <c r="T38" i="39" s="1"/>
  <c r="R46" i="39"/>
  <c r="T46" i="39" s="1"/>
  <c r="R50" i="39"/>
  <c r="T50" i="39" s="1"/>
  <c r="D6" i="39"/>
  <c r="F24" i="39"/>
  <c r="D26" i="39"/>
  <c r="T55" i="39"/>
  <c r="T67" i="39"/>
  <c r="R58" i="39"/>
  <c r="T58" i="39" s="1"/>
  <c r="R66" i="39"/>
  <c r="T66" i="39" s="1"/>
  <c r="R70" i="39"/>
  <c r="T70" i="39" s="1"/>
  <c r="R74" i="39"/>
  <c r="T74" i="39" s="1"/>
  <c r="R23" i="39"/>
  <c r="R31" i="39"/>
  <c r="R35" i="39"/>
  <c r="R47" i="39"/>
  <c r="B43" i="39"/>
  <c r="B45" i="39"/>
  <c r="F43" i="39"/>
  <c r="F45" i="39"/>
  <c r="S65" i="39" l="1"/>
  <c r="D63" i="39" s="1"/>
  <c r="D67" i="39" s="1"/>
  <c r="D192" i="28" s="1"/>
  <c r="A235" i="28"/>
  <c r="A6" i="73"/>
  <c r="D23" i="39"/>
  <c r="D27" i="39" s="1"/>
  <c r="D180" i="28" s="1"/>
  <c r="A237" i="28"/>
  <c r="A22" i="42"/>
  <c r="A24" i="42"/>
  <c r="Q1286" i="21"/>
  <c r="Q1309" i="21" s="1"/>
  <c r="Q1343" i="21" s="1"/>
  <c r="Q1346" i="21" s="1"/>
  <c r="Q1538" i="21" s="1"/>
  <c r="D223" i="28" s="1"/>
  <c r="L128" i="21"/>
  <c r="D198" i="28" s="1"/>
  <c r="A310" i="28" s="1"/>
  <c r="Q902" i="21"/>
  <c r="Q925" i="21" s="1"/>
  <c r="Q959" i="21" s="1"/>
  <c r="Q962" i="21" s="1"/>
  <c r="Q1154" i="21" s="1"/>
  <c r="D216" i="28" s="1"/>
  <c r="L896" i="21"/>
  <c r="D212" i="28" s="1"/>
  <c r="L1664" i="21"/>
  <c r="D226" i="28" s="1"/>
  <c r="L1280" i="21"/>
  <c r="D219" i="28" s="1"/>
  <c r="S1829" i="21"/>
  <c r="T1829" i="21"/>
  <c r="S1061" i="21"/>
  <c r="T1061" i="21"/>
  <c r="Y1539" i="21"/>
  <c r="Z1539" i="21" s="1"/>
  <c r="K1539" i="21" s="1"/>
  <c r="Y1540" i="21"/>
  <c r="Z1540" i="21" s="1"/>
  <c r="K1540" i="21" s="1"/>
  <c r="I1922" i="21"/>
  <c r="S293" i="21"/>
  <c r="K1922" i="21"/>
  <c r="T1818" i="21"/>
  <c r="Y1155" i="21"/>
  <c r="Z1155" i="21" s="1"/>
  <c r="K1155" i="21" s="1"/>
  <c r="K1165" i="21" s="1"/>
  <c r="S1434" i="21"/>
  <c r="X1156" i="21"/>
  <c r="J1664" i="21"/>
  <c r="B225" i="28" s="1"/>
  <c r="I1664" i="21"/>
  <c r="T1434" i="21"/>
  <c r="S1549" i="21"/>
  <c r="I1280" i="21"/>
  <c r="J1280" i="21"/>
  <c r="B218" i="28" s="1"/>
  <c r="S1818" i="21"/>
  <c r="K1605" i="21"/>
  <c r="T1549" i="21"/>
  <c r="K1221" i="21"/>
  <c r="J1922" i="21"/>
  <c r="D225" i="28" s="1"/>
  <c r="W1819" i="21"/>
  <c r="W1829" i="21" s="1"/>
  <c r="J1538" i="21"/>
  <c r="D218" i="28" s="1"/>
  <c r="W1423" i="21"/>
  <c r="W1549" i="21"/>
  <c r="K1583" i="21"/>
  <c r="T1583" i="21"/>
  <c r="W1573" i="21"/>
  <c r="T1560" i="21"/>
  <c r="W1550" i="21"/>
  <c r="S1571" i="21"/>
  <c r="K1594" i="21"/>
  <c r="K1538" i="21"/>
  <c r="I1538" i="21"/>
  <c r="T1165" i="21"/>
  <c r="W1605" i="21"/>
  <c r="X1595" i="21"/>
  <c r="S1807" i="21"/>
  <c r="W1807" i="21"/>
  <c r="Y1797" i="21"/>
  <c r="W1561" i="21"/>
  <c r="T1571" i="21"/>
  <c r="T1594" i="21"/>
  <c r="W1584" i="21"/>
  <c r="O1793" i="21"/>
  <c r="N1796" i="21"/>
  <c r="O1796" i="21" s="1"/>
  <c r="N1730" i="21"/>
  <c r="O1727" i="21"/>
  <c r="S1560" i="21"/>
  <c r="W1165" i="21"/>
  <c r="W1818" i="21"/>
  <c r="Y1808" i="21"/>
  <c r="T1605" i="21"/>
  <c r="N1664" i="21"/>
  <c r="B229" i="28" s="1"/>
  <c r="O1572" i="21"/>
  <c r="W1434" i="21"/>
  <c r="Y1424" i="21"/>
  <c r="S1423" i="21"/>
  <c r="W1221" i="21"/>
  <c r="X1211" i="21"/>
  <c r="N1412" i="21"/>
  <c r="O1412" i="21" s="1"/>
  <c r="O1409" i="21"/>
  <c r="Y1423" i="21"/>
  <c r="Z1413" i="21"/>
  <c r="Z1423" i="21" s="1"/>
  <c r="S1187" i="21"/>
  <c r="S1176" i="21"/>
  <c r="N1280" i="21"/>
  <c r="B222" i="28" s="1"/>
  <c r="O1188" i="21"/>
  <c r="T1221" i="21"/>
  <c r="W1187" i="21"/>
  <c r="N1346" i="21"/>
  <c r="O1343" i="21"/>
  <c r="S1165" i="21"/>
  <c r="T1187" i="21"/>
  <c r="K1210" i="21"/>
  <c r="Y1166" i="21"/>
  <c r="W1176" i="21"/>
  <c r="T1445" i="21"/>
  <c r="W1435" i="21"/>
  <c r="Z1177" i="21"/>
  <c r="K1187" i="21" s="1"/>
  <c r="Y1187" i="21"/>
  <c r="W1199" i="21"/>
  <c r="X1189" i="21"/>
  <c r="K1199" i="21"/>
  <c r="T1210" i="21"/>
  <c r="W1200" i="21"/>
  <c r="T1199" i="21"/>
  <c r="T1176" i="21"/>
  <c r="D7" i="39"/>
  <c r="D174" i="28" s="1"/>
  <c r="D43" i="39"/>
  <c r="D47" i="39" s="1"/>
  <c r="D186" i="28" s="1"/>
  <c r="C45" i="39"/>
  <c r="E64" i="39"/>
  <c r="B67" i="39"/>
  <c r="D188" i="28" s="1"/>
  <c r="B27" i="39"/>
  <c r="D176" i="28" s="1"/>
  <c r="E46" i="39"/>
  <c r="F67" i="39"/>
  <c r="D189" i="28" s="1"/>
  <c r="F7" i="39"/>
  <c r="D171" i="28" s="1"/>
  <c r="N962" i="21"/>
  <c r="O962" i="21" s="1"/>
  <c r="N1028" i="21"/>
  <c r="O1028" i="21" s="1"/>
  <c r="E6" i="39"/>
  <c r="T27" i="39"/>
  <c r="E24" i="39" s="1"/>
  <c r="C24" i="39"/>
  <c r="E43" i="39"/>
  <c r="C63" i="39"/>
  <c r="J1154" i="21"/>
  <c r="D211" i="28" s="1"/>
  <c r="I896" i="21"/>
  <c r="K826" i="21"/>
  <c r="K69" i="21"/>
  <c r="W1039" i="21"/>
  <c r="S1050" i="21"/>
  <c r="S781" i="21"/>
  <c r="T1050" i="21"/>
  <c r="I1154" i="21"/>
  <c r="K837" i="21"/>
  <c r="K1154" i="21"/>
  <c r="J896" i="21"/>
  <c r="B211" i="28" s="1"/>
  <c r="W1050" i="21"/>
  <c r="Y1040" i="21"/>
  <c r="S803" i="21"/>
  <c r="Y1051" i="21"/>
  <c r="W1061" i="21"/>
  <c r="T826" i="21"/>
  <c r="X827" i="21"/>
  <c r="W837" i="21"/>
  <c r="K815" i="21"/>
  <c r="T837" i="21"/>
  <c r="T792" i="21"/>
  <c r="W803" i="21"/>
  <c r="X772" i="21"/>
  <c r="Y772" i="21"/>
  <c r="Z772" i="21" s="1"/>
  <c r="K772" i="21" s="1"/>
  <c r="W826" i="21"/>
  <c r="S1039" i="21"/>
  <c r="W805" i="21"/>
  <c r="T815" i="21"/>
  <c r="S792" i="21"/>
  <c r="X771" i="21"/>
  <c r="Y771" i="21"/>
  <c r="W781" i="21"/>
  <c r="W792" i="21"/>
  <c r="Y782" i="21"/>
  <c r="N896" i="21"/>
  <c r="B215" i="28" s="1"/>
  <c r="Z793" i="21"/>
  <c r="K803" i="21" s="1"/>
  <c r="Y803" i="21"/>
  <c r="Z1029" i="21"/>
  <c r="Z1039" i="21" s="1"/>
  <c r="Y1039" i="21"/>
  <c r="T803" i="21"/>
  <c r="T781" i="21"/>
  <c r="X3" i="21"/>
  <c r="T408" i="21"/>
  <c r="S13" i="21"/>
  <c r="S408" i="21"/>
  <c r="S282" i="21"/>
  <c r="S271" i="21"/>
  <c r="T35" i="21"/>
  <c r="S397" i="21"/>
  <c r="S24" i="21"/>
  <c r="S35" i="21"/>
  <c r="W283" i="21"/>
  <c r="T293" i="21"/>
  <c r="T397" i="21"/>
  <c r="W388" i="21"/>
  <c r="Z3" i="21"/>
  <c r="W409" i="21"/>
  <c r="T419" i="21"/>
  <c r="X4" i="21"/>
  <c r="Y4" i="21"/>
  <c r="Z4" i="21" s="1"/>
  <c r="K4" i="21" s="1"/>
  <c r="T70" i="21"/>
  <c r="W14" i="21"/>
  <c r="T24" i="21"/>
  <c r="Y272" i="21"/>
  <c r="W282" i="21"/>
  <c r="Y398" i="21"/>
  <c r="W408" i="21"/>
  <c r="T271" i="21"/>
  <c r="W47" i="21"/>
  <c r="X37" i="21"/>
  <c r="X48" i="21"/>
  <c r="W58" i="21"/>
  <c r="W13" i="21"/>
  <c r="Y25" i="21"/>
  <c r="W35" i="21"/>
  <c r="T13" i="21"/>
  <c r="T282" i="21"/>
  <c r="W271" i="21"/>
  <c r="Y261" i="21"/>
  <c r="Z387" i="21"/>
  <c r="K387" i="21" s="1"/>
  <c r="X59" i="21"/>
  <c r="W69" i="21"/>
  <c r="T47" i="39"/>
  <c r="E44" i="39" s="1"/>
  <c r="C44" i="39"/>
  <c r="T71" i="39"/>
  <c r="E65" i="39" s="1"/>
  <c r="C65" i="39"/>
  <c r="C4" i="39"/>
  <c r="T7" i="39"/>
  <c r="E4" i="39" s="1"/>
  <c r="F47" i="39"/>
  <c r="D183" i="28" s="1"/>
  <c r="T35" i="39"/>
  <c r="E26" i="39" s="1"/>
  <c r="C26" i="39"/>
  <c r="C64" i="39"/>
  <c r="C25" i="39"/>
  <c r="T31" i="39"/>
  <c r="E25" i="39" s="1"/>
  <c r="B7" i="39"/>
  <c r="D170" i="28" s="1"/>
  <c r="E63" i="39"/>
  <c r="C3" i="39"/>
  <c r="B47" i="39"/>
  <c r="D182" i="28" s="1"/>
  <c r="C23" i="39"/>
  <c r="T23" i="39"/>
  <c r="E23" i="39" s="1"/>
  <c r="C46" i="39"/>
  <c r="C43" i="39"/>
  <c r="T12" i="39"/>
  <c r="E5" i="39" s="1"/>
  <c r="C5" i="39"/>
  <c r="T75" i="39"/>
  <c r="E66" i="39" s="1"/>
  <c r="C66" i="39"/>
  <c r="F27" i="39"/>
  <c r="D177" i="28" s="1"/>
  <c r="C6" i="39"/>
  <c r="E3" i="39"/>
  <c r="C18" i="70" l="1"/>
  <c r="C18" i="62"/>
  <c r="E28" i="28"/>
  <c r="E30" i="28"/>
  <c r="A302" i="28" s="1"/>
  <c r="A49" i="70"/>
  <c r="S32" i="70"/>
  <c r="T31" i="70" s="1"/>
  <c r="V31" i="70" s="1"/>
  <c r="X31" i="70" s="1"/>
  <c r="S18" i="70"/>
  <c r="T17" i="70" s="1"/>
  <c r="V17" i="70" s="1"/>
  <c r="X17" i="70" s="1"/>
  <c r="S31" i="70"/>
  <c r="T30" i="70" s="1"/>
  <c r="V30" i="70" s="1"/>
  <c r="X30" i="70" s="1"/>
  <c r="C19" i="70"/>
  <c r="D19" i="70" s="1"/>
  <c r="F19" i="70" s="1"/>
  <c r="H19" i="70" s="1"/>
  <c r="C20" i="70"/>
  <c r="D20" i="70" s="1"/>
  <c r="F20" i="70" s="1"/>
  <c r="H20" i="70" s="1"/>
  <c r="K31" i="70"/>
  <c r="S17" i="70"/>
  <c r="T16" i="70" s="1"/>
  <c r="V16" i="70" s="1"/>
  <c r="X16" i="70" s="1"/>
  <c r="K18" i="70"/>
  <c r="L18" i="70" s="1"/>
  <c r="N18" i="70" s="1"/>
  <c r="P18" i="70" s="1"/>
  <c r="K17" i="70"/>
  <c r="L17" i="70" s="1"/>
  <c r="N17" i="70" s="1"/>
  <c r="P17" i="70" s="1"/>
  <c r="A107" i="62"/>
  <c r="C76" i="62"/>
  <c r="D76" i="62" s="1"/>
  <c r="F76" i="62" s="1"/>
  <c r="H76" i="62" s="1"/>
  <c r="C75" i="62"/>
  <c r="D75" i="62" s="1"/>
  <c r="F75" i="62" s="1"/>
  <c r="H75" i="62" s="1"/>
  <c r="B17" i="43"/>
  <c r="C19" i="62"/>
  <c r="C20" i="62"/>
  <c r="C63" i="62"/>
  <c r="D63" i="62" s="1"/>
  <c r="F63" i="62" s="1"/>
  <c r="H63" i="62" s="1"/>
  <c r="C49" i="62"/>
  <c r="C62" i="62"/>
  <c r="D62" i="62" s="1"/>
  <c r="F62" i="62" s="1"/>
  <c r="H62" i="62" s="1"/>
  <c r="C37" i="62"/>
  <c r="D37" i="62" s="1"/>
  <c r="F37" i="62" s="1"/>
  <c r="H37" i="62" s="1"/>
  <c r="C36" i="62"/>
  <c r="D36" i="62" s="1"/>
  <c r="F36" i="62" s="1"/>
  <c r="H36" i="62" s="1"/>
  <c r="Y1819" i="21"/>
  <c r="Y1829" i="21" s="1"/>
  <c r="O1664" i="21"/>
  <c r="D229" i="28" s="1"/>
  <c r="O1280" i="21"/>
  <c r="D222" i="28" s="1"/>
  <c r="O896" i="21"/>
  <c r="D215" i="28" s="1"/>
  <c r="T1830" i="21"/>
  <c r="K1549" i="21"/>
  <c r="T1062" i="21"/>
  <c r="T1446" i="21"/>
  <c r="S1446" i="21"/>
  <c r="Y1549" i="21"/>
  <c r="S1572" i="21"/>
  <c r="Y1165" i="21"/>
  <c r="T1188" i="21"/>
  <c r="W1188" i="21"/>
  <c r="Z1165" i="21"/>
  <c r="T1572" i="21"/>
  <c r="S1830" i="21"/>
  <c r="Z1187" i="21"/>
  <c r="T1606" i="21"/>
  <c r="Z1549" i="21"/>
  <c r="Y1818" i="21"/>
  <c r="Z1808" i="21"/>
  <c r="Z1818" i="21" s="1"/>
  <c r="W1571" i="21"/>
  <c r="Y1561" i="21"/>
  <c r="X1584" i="21"/>
  <c r="W1594" i="21"/>
  <c r="Y1807" i="21"/>
  <c r="Z1797" i="21"/>
  <c r="Z1807" i="21" s="1"/>
  <c r="Y1550" i="21"/>
  <c r="W1560" i="21"/>
  <c r="W1583" i="21"/>
  <c r="X1573" i="21"/>
  <c r="N1922" i="21"/>
  <c r="O1922" i="21" s="1"/>
  <c r="O1730" i="21"/>
  <c r="W1830" i="21"/>
  <c r="K1606" i="21"/>
  <c r="Y1435" i="21"/>
  <c r="W1445" i="21"/>
  <c r="W1446" i="21" s="1"/>
  <c r="N1538" i="21"/>
  <c r="O1538" i="21" s="1"/>
  <c r="O1346" i="21"/>
  <c r="Y1434" i="21"/>
  <c r="Z1424" i="21"/>
  <c r="Z1434" i="21" s="1"/>
  <c r="T1222" i="21"/>
  <c r="K1222" i="21"/>
  <c r="S1188" i="21"/>
  <c r="X1200" i="21"/>
  <c r="W1210" i="21"/>
  <c r="W1222" i="21" s="1"/>
  <c r="Z1166" i="21"/>
  <c r="K1166" i="21" s="1"/>
  <c r="K1176" i="21" s="1"/>
  <c r="K1188" i="21" s="1"/>
  <c r="Y1176" i="21"/>
  <c r="E47" i="39"/>
  <c r="D184" i="28" s="1"/>
  <c r="C67" i="39"/>
  <c r="D191" i="28" s="1"/>
  <c r="C27" i="39"/>
  <c r="D179" i="28" s="1"/>
  <c r="C47" i="39"/>
  <c r="D185" i="28" s="1"/>
  <c r="N1154" i="21"/>
  <c r="O1154" i="21" s="1"/>
  <c r="E27" i="39"/>
  <c r="D178" i="28" s="1"/>
  <c r="S1062" i="21"/>
  <c r="S804" i="21"/>
  <c r="K838" i="21"/>
  <c r="W1062" i="21"/>
  <c r="Z803" i="21"/>
  <c r="W804" i="21"/>
  <c r="T838" i="21"/>
  <c r="Y1061" i="21"/>
  <c r="Z1051" i="21"/>
  <c r="Z1061" i="21" s="1"/>
  <c r="Z782" i="21"/>
  <c r="K782" i="21" s="1"/>
  <c r="K792" i="21" s="1"/>
  <c r="Y792" i="21"/>
  <c r="Y1050" i="21"/>
  <c r="Z1040" i="21"/>
  <c r="Z1050" i="21" s="1"/>
  <c r="T804" i="21"/>
  <c r="Z771" i="21"/>
  <c r="K771" i="21" s="1"/>
  <c r="K781" i="21" s="1"/>
  <c r="Y781" i="21"/>
  <c r="W815" i="21"/>
  <c r="W838" i="21" s="1"/>
  <c r="X805" i="21"/>
  <c r="S36" i="21"/>
  <c r="S294" i="21"/>
  <c r="T420" i="21"/>
  <c r="T36" i="21"/>
  <c r="Y13" i="21"/>
  <c r="W293" i="21"/>
  <c r="W294" i="21" s="1"/>
  <c r="Y283" i="21"/>
  <c r="Z13" i="21"/>
  <c r="Y35" i="21"/>
  <c r="Z25" i="21"/>
  <c r="Z398" i="21"/>
  <c r="Y408" i="21"/>
  <c r="Z272" i="21"/>
  <c r="Z282" i="21" s="1"/>
  <c r="Y282" i="21"/>
  <c r="Z261" i="21"/>
  <c r="Z271" i="21" s="1"/>
  <c r="Y271" i="21"/>
  <c r="W70" i="21"/>
  <c r="T294" i="21"/>
  <c r="Y14" i="21"/>
  <c r="W24" i="21"/>
  <c r="W36" i="21" s="1"/>
  <c r="Y409" i="21"/>
  <c r="W419" i="21"/>
  <c r="Y388" i="21"/>
  <c r="W397" i="21"/>
  <c r="E7" i="39"/>
  <c r="D172" i="28" s="1"/>
  <c r="C7" i="39"/>
  <c r="D173" i="28" s="1"/>
  <c r="E67" i="39"/>
  <c r="D190" i="28" s="1"/>
  <c r="D49" i="62" l="1"/>
  <c r="F49" i="62" s="1"/>
  <c r="H49" i="62" s="1"/>
  <c r="L31" i="70"/>
  <c r="N31" i="70" s="1"/>
  <c r="P31" i="70" s="1"/>
  <c r="K32" i="70"/>
  <c r="L32" i="70" s="1"/>
  <c r="N32" i="70" s="1"/>
  <c r="P32" i="70" s="1"/>
  <c r="C50" i="62"/>
  <c r="D50" i="62" s="1"/>
  <c r="F50" i="62" s="1"/>
  <c r="H50" i="62" s="1"/>
  <c r="A314" i="28"/>
  <c r="K16" i="70"/>
  <c r="C35" i="62"/>
  <c r="E56" i="28"/>
  <c r="E58" i="28"/>
  <c r="A324" i="28" s="1"/>
  <c r="B291" i="28"/>
  <c r="K30" i="70"/>
  <c r="C48" i="62"/>
  <c r="E86" i="28"/>
  <c r="E88" i="28"/>
  <c r="A328" i="28" s="1"/>
  <c r="A111" i="62"/>
  <c r="A53" i="70"/>
  <c r="D20" i="62"/>
  <c r="F20" i="62" s="1"/>
  <c r="H20" i="62" s="1"/>
  <c r="D19" i="62"/>
  <c r="F19" i="62" s="1"/>
  <c r="H19" i="62" s="1"/>
  <c r="C10" i="42"/>
  <c r="Z1819" i="21"/>
  <c r="Z1829" i="21" s="1"/>
  <c r="Z1830" i="21" s="1"/>
  <c r="Y1062" i="21"/>
  <c r="Y1188" i="21"/>
  <c r="W1606" i="21"/>
  <c r="W1572" i="21"/>
  <c r="Y1830" i="21"/>
  <c r="Z1561" i="21"/>
  <c r="K1561" i="21" s="1"/>
  <c r="K1571" i="21" s="1"/>
  <c r="Y1571" i="21"/>
  <c r="K1280" i="21"/>
  <c r="B219" i="28" s="1"/>
  <c r="Z1550" i="21"/>
  <c r="K1550" i="21" s="1"/>
  <c r="K1560" i="21" s="1"/>
  <c r="Y1560" i="21"/>
  <c r="Z1176" i="21"/>
  <c r="Z1188" i="21" s="1"/>
  <c r="Y1445" i="21"/>
  <c r="Y1446" i="21" s="1"/>
  <c r="Z1435" i="21"/>
  <c r="Z1445" i="21" s="1"/>
  <c r="Z1446" i="21" s="1"/>
  <c r="Z792" i="21"/>
  <c r="Z35" i="21"/>
  <c r="K804" i="21"/>
  <c r="K896" i="21" s="1"/>
  <c r="B212" i="28" s="1"/>
  <c r="Y804" i="21"/>
  <c r="Z1062" i="21"/>
  <c r="Z781" i="21"/>
  <c r="Z408" i="21"/>
  <c r="W420" i="21"/>
  <c r="Z283" i="21"/>
  <c r="Z293" i="21" s="1"/>
  <c r="Z294" i="21" s="1"/>
  <c r="Y293" i="21"/>
  <c r="Y294" i="21" s="1"/>
  <c r="Y24" i="21"/>
  <c r="Y36" i="21" s="1"/>
  <c r="Z14" i="21"/>
  <c r="Z24" i="21" s="1"/>
  <c r="Z388" i="21"/>
  <c r="Y397" i="21"/>
  <c r="Z409" i="21"/>
  <c r="Y419" i="21"/>
  <c r="B296" i="28" l="1"/>
  <c r="B293" i="28"/>
  <c r="B292" i="28"/>
  <c r="S21" i="70"/>
  <c r="T20" i="70" s="1"/>
  <c r="V20" i="70" s="1"/>
  <c r="X20" i="70" s="1"/>
  <c r="K35" i="70"/>
  <c r="L35" i="70" s="1"/>
  <c r="N35" i="70" s="1"/>
  <c r="P35" i="70" s="1"/>
  <c r="C66" i="62"/>
  <c r="D66" i="62" s="1"/>
  <c r="F66" i="62" s="1"/>
  <c r="H66" i="62" s="1"/>
  <c r="C53" i="62"/>
  <c r="D53" i="62" s="1"/>
  <c r="F53" i="62" s="1"/>
  <c r="H53" i="62" s="1"/>
  <c r="Z36" i="21"/>
  <c r="Y1572" i="21"/>
  <c r="K1572" i="21"/>
  <c r="K1664" i="21" s="1"/>
  <c r="B226" i="28" s="1"/>
  <c r="Z1560" i="21"/>
  <c r="Z1571" i="21"/>
  <c r="Z804" i="21"/>
  <c r="Z397" i="21"/>
  <c r="K388" i="21"/>
  <c r="Z419" i="21"/>
  <c r="Y420" i="21"/>
  <c r="S35" i="70" l="1"/>
  <c r="T34" i="70" s="1"/>
  <c r="V34" i="70" s="1"/>
  <c r="X34" i="70" s="1"/>
  <c r="C79" i="62"/>
  <c r="D79" i="62" s="1"/>
  <c r="F79" i="62" s="1"/>
  <c r="H79" i="62" s="1"/>
  <c r="Z1572" i="21"/>
  <c r="Z420" i="21"/>
  <c r="D112" i="28" l="1"/>
  <c r="S11" i="70" l="1"/>
  <c r="T10" i="70" s="1"/>
  <c r="V10" i="70" s="1"/>
  <c r="X10" i="70" s="1"/>
  <c r="E4" i="70" s="1"/>
  <c r="C38" i="43"/>
  <c r="C56" i="62"/>
  <c r="D56" i="62" s="1"/>
  <c r="F56" i="62" s="1"/>
  <c r="H56" i="62" s="1"/>
  <c r="E4" i="62" s="1"/>
  <c r="D3" i="22"/>
  <c r="B9" i="22"/>
  <c r="A264" i="28"/>
  <c r="A40" i="41" s="1"/>
  <c r="A274" i="28"/>
  <c r="A256" i="28"/>
  <c r="A266" i="28" s="1"/>
  <c r="A42" i="41" s="1"/>
  <c r="A257" i="28"/>
  <c r="A267" i="28" s="1"/>
  <c r="A43" i="41" s="1"/>
  <c r="E7" i="70" l="1"/>
  <c r="E5" i="70"/>
  <c r="A77" i="70"/>
  <c r="A135" i="62"/>
  <c r="E5" i="62"/>
  <c r="E7" i="62"/>
  <c r="A9" i="55"/>
  <c r="A119" i="60"/>
  <c r="A8" i="55"/>
  <c r="A118" i="60"/>
  <c r="A6" i="55"/>
  <c r="A116" i="60"/>
  <c r="A402" i="47"/>
  <c r="A673" i="47"/>
  <c r="A401" i="47"/>
  <c r="A672" i="47"/>
  <c r="A399" i="47"/>
  <c r="A670" i="47"/>
  <c r="F12" i="44"/>
  <c r="A39" i="41"/>
  <c r="A275" i="28"/>
  <c r="A272" i="28"/>
  <c r="A276" i="28"/>
  <c r="A273" i="28"/>
  <c r="I419" i="21"/>
  <c r="E6" i="70" l="1"/>
  <c r="E6" i="62"/>
  <c r="A5" i="55"/>
  <c r="A115" i="60"/>
  <c r="A9" i="58"/>
  <c r="A26" i="58"/>
  <c r="A398" i="47"/>
  <c r="A669" i="47"/>
  <c r="A11" i="51"/>
  <c r="B7" i="53"/>
  <c r="B112" i="45"/>
  <c r="B424" i="47"/>
  <c r="B90" i="47"/>
  <c r="B150" i="48"/>
  <c r="B71" i="48"/>
  <c r="B23" i="47"/>
  <c r="B155" i="47"/>
  <c r="A206" i="45"/>
  <c r="B159" i="45"/>
  <c r="B206" i="45"/>
  <c r="B80" i="45"/>
  <c r="B57" i="45"/>
  <c r="C6" i="42"/>
  <c r="K500" i="21"/>
  <c r="K510" i="21" s="1"/>
  <c r="O400" i="21" l="1"/>
  <c r="O399" i="21"/>
  <c r="K711" i="21" l="1"/>
  <c r="J711" i="21"/>
  <c r="I711" i="21"/>
  <c r="J700" i="21"/>
  <c r="I700" i="21"/>
  <c r="K690" i="21"/>
  <c r="K700" i="21" s="1"/>
  <c r="J689" i="21"/>
  <c r="I689" i="21"/>
  <c r="K681" i="21"/>
  <c r="K680" i="21"/>
  <c r="K679" i="21"/>
  <c r="J666" i="21"/>
  <c r="I666" i="21"/>
  <c r="J655" i="21"/>
  <c r="I655" i="21"/>
  <c r="O500" i="21"/>
  <c r="O388" i="21"/>
  <c r="I678" i="21" l="1"/>
  <c r="I712" i="21"/>
  <c r="K689" i="21"/>
  <c r="K712" i="21" s="1"/>
  <c r="J712" i="21"/>
  <c r="J678" i="21"/>
  <c r="V248" i="28" l="1"/>
  <c r="C2" i="22" l="1"/>
  <c r="C3" i="22" l="1"/>
  <c r="C4" i="22" s="1"/>
  <c r="D4" i="22" s="1"/>
  <c r="E4" i="22" l="1"/>
  <c r="B253" i="28" l="1"/>
  <c r="E7" i="40"/>
  <c r="E8" i="40"/>
  <c r="J411" i="21"/>
  <c r="S411" i="21" s="1"/>
  <c r="J412" i="21"/>
  <c r="S412" i="21" s="1"/>
  <c r="AA12" i="70" l="1"/>
  <c r="AB12" i="70" s="1"/>
  <c r="AD12" i="70" s="1"/>
  <c r="AF12" i="70" s="1"/>
  <c r="C83" i="62"/>
  <c r="D83" i="62" s="1"/>
  <c r="F83" i="62" s="1"/>
  <c r="H83" i="62" s="1"/>
  <c r="E9" i="40"/>
  <c r="C253" i="28"/>
  <c r="E272" i="28"/>
  <c r="F272" i="28" s="1"/>
  <c r="S419" i="21"/>
  <c r="S420" i="21" s="1"/>
  <c r="C5" i="22"/>
  <c r="D5" i="22" s="1"/>
  <c r="C8" i="22"/>
  <c r="D8" i="22" s="1"/>
  <c r="AA13" i="70" l="1"/>
  <c r="Z13" i="70" s="1"/>
  <c r="C84" i="62"/>
  <c r="B84" i="62" s="1"/>
  <c r="C36" i="42"/>
  <c r="E8" i="22"/>
  <c r="E47" i="40" s="1"/>
  <c r="E5" i="22"/>
  <c r="C6" i="22"/>
  <c r="D6" i="22" s="1"/>
  <c r="AB13" i="70" l="1"/>
  <c r="AD13" i="70" s="1"/>
  <c r="AF13" i="70" s="1"/>
  <c r="D84" i="62"/>
  <c r="F84" i="62" s="1"/>
  <c r="H84" i="62" s="1"/>
  <c r="B254" i="28"/>
  <c r="A375" i="28" s="1"/>
  <c r="E17" i="40"/>
  <c r="F8" i="22"/>
  <c r="B257" i="28"/>
  <c r="A378" i="28" s="1"/>
  <c r="F5" i="22"/>
  <c r="E18" i="40" s="1"/>
  <c r="E6" i="22"/>
  <c r="E27" i="40" s="1"/>
  <c r="C7" i="22"/>
  <c r="D7" i="22" s="1"/>
  <c r="H4" i="22"/>
  <c r="D253" i="28" s="1"/>
  <c r="A91" i="70" l="1"/>
  <c r="A88" i="70"/>
  <c r="AA14" i="70"/>
  <c r="AB14" i="70" s="1"/>
  <c r="AD14" i="70" s="1"/>
  <c r="AF14" i="70" s="1"/>
  <c r="C85" i="62"/>
  <c r="D85" i="62" s="1"/>
  <c r="F85" i="62" s="1"/>
  <c r="H85" i="62" s="1"/>
  <c r="A149" i="62"/>
  <c r="A146" i="62"/>
  <c r="C257" i="28"/>
  <c r="E48" i="40"/>
  <c r="E49" i="40" s="1"/>
  <c r="G8" i="22"/>
  <c r="H5" i="22"/>
  <c r="D254" i="28" s="1"/>
  <c r="C254" i="28"/>
  <c r="F6" i="22"/>
  <c r="B255" i="28"/>
  <c r="A376" i="28" s="1"/>
  <c r="E276" i="28"/>
  <c r="F276" i="28" s="1"/>
  <c r="E273" i="28"/>
  <c r="F273" i="28" s="1"/>
  <c r="G5" i="22"/>
  <c r="E19" i="40"/>
  <c r="I4" i="22"/>
  <c r="E7" i="22"/>
  <c r="E37" i="40" s="1"/>
  <c r="G4" i="22"/>
  <c r="G272" i="28" s="1"/>
  <c r="C45" i="43" s="1"/>
  <c r="A374" i="28" s="1"/>
  <c r="H8" i="22"/>
  <c r="D257" i="28" s="1"/>
  <c r="A87" i="70" l="1"/>
  <c r="A145" i="62"/>
  <c r="A89" i="70"/>
  <c r="E274" i="28"/>
  <c r="F274" i="28" s="1"/>
  <c r="A147" i="62"/>
  <c r="C255" i="28"/>
  <c r="E28" i="40"/>
  <c r="E29" i="40" s="1"/>
  <c r="I5" i="22"/>
  <c r="G276" i="28"/>
  <c r="C49" i="43" s="1"/>
  <c r="F7" i="22"/>
  <c r="E38" i="40" s="1"/>
  <c r="B256" i="28"/>
  <c r="A377" i="28" s="1"/>
  <c r="G273" i="28"/>
  <c r="C46" i="43" s="1"/>
  <c r="E9" i="22"/>
  <c r="I8" i="22"/>
  <c r="D9" i="22"/>
  <c r="G6" i="22"/>
  <c r="H6" i="22"/>
  <c r="D255" i="28" s="1"/>
  <c r="G274" i="28" l="1"/>
  <c r="C47" i="43" s="1"/>
  <c r="A90" i="70"/>
  <c r="A148" i="62"/>
  <c r="A419" i="28"/>
  <c r="G7" i="22"/>
  <c r="H7" i="22"/>
  <c r="D256" i="28" s="1"/>
  <c r="F9" i="22"/>
  <c r="G9" i="22" s="1"/>
  <c r="C256" i="28"/>
  <c r="C258" i="28" s="1"/>
  <c r="B258" i="28"/>
  <c r="B259" i="28" s="1"/>
  <c r="E275" i="28"/>
  <c r="F275" i="28" s="1"/>
  <c r="E39" i="40"/>
  <c r="E55" i="40" s="1"/>
  <c r="B283" i="28" s="1"/>
  <c r="E65" i="40"/>
  <c r="I6" i="22"/>
  <c r="I7" i="22"/>
  <c r="B280" i="28" l="1"/>
  <c r="H9" i="22"/>
  <c r="I9" i="22" s="1"/>
  <c r="G275" i="28"/>
  <c r="C48" i="43" s="1"/>
  <c r="C259" i="28"/>
  <c r="C4" i="40"/>
  <c r="E58" i="40" s="1"/>
  <c r="B282" i="28" s="1"/>
  <c r="D258" i="28"/>
  <c r="CW146" i="24"/>
  <c r="CW147" i="24" s="1"/>
  <c r="CV146" i="24"/>
  <c r="CU146" i="24"/>
  <c r="CT146" i="24"/>
  <c r="CS146" i="24"/>
  <c r="CO146" i="24"/>
  <c r="CO147" i="24" s="1"/>
  <c r="CN146" i="24"/>
  <c r="L85" i="24" s="1"/>
  <c r="CM146" i="24"/>
  <c r="K86" i="24" s="1"/>
  <c r="CL146" i="24"/>
  <c r="L83" i="24" s="1"/>
  <c r="CK146" i="24"/>
  <c r="L82" i="24" s="1"/>
  <c r="CG146" i="24"/>
  <c r="CG147" i="24" s="1"/>
  <c r="CF146" i="24"/>
  <c r="L79" i="24" s="1"/>
  <c r="CE146" i="24"/>
  <c r="K80" i="24" s="1"/>
  <c r="CD146" i="24"/>
  <c r="L77" i="24" s="1"/>
  <c r="CC146" i="24"/>
  <c r="L76" i="24" s="1"/>
  <c r="BY146" i="24"/>
  <c r="BY147" i="24" s="1"/>
  <c r="BX146" i="24"/>
  <c r="L73" i="24" s="1"/>
  <c r="BW146" i="24"/>
  <c r="K74" i="24" s="1"/>
  <c r="BV146" i="24"/>
  <c r="L71" i="24" s="1"/>
  <c r="BU146" i="24"/>
  <c r="L70" i="24" s="1"/>
  <c r="BQ146" i="24"/>
  <c r="BQ147" i="24" s="1"/>
  <c r="BP146" i="24"/>
  <c r="L67" i="24" s="1"/>
  <c r="BO146" i="24"/>
  <c r="K68" i="24" s="1"/>
  <c r="BN146" i="24"/>
  <c r="L65" i="24" s="1"/>
  <c r="BM146" i="24"/>
  <c r="L64" i="24" s="1"/>
  <c r="BI146" i="24"/>
  <c r="BI147" i="24" s="1"/>
  <c r="BH146" i="24"/>
  <c r="L61" i="24" s="1"/>
  <c r="BG146" i="24"/>
  <c r="K62" i="24" s="1"/>
  <c r="BF146" i="24"/>
  <c r="L59" i="24" s="1"/>
  <c r="BE146" i="24"/>
  <c r="L58" i="24" s="1"/>
  <c r="BA146" i="24"/>
  <c r="BA147" i="24" s="1"/>
  <c r="AZ146" i="24"/>
  <c r="L55" i="24" s="1"/>
  <c r="AY146" i="24"/>
  <c r="K56" i="24" s="1"/>
  <c r="AX146" i="24"/>
  <c r="L53" i="24" s="1"/>
  <c r="AW146" i="24"/>
  <c r="L52" i="24" s="1"/>
  <c r="AS146" i="24"/>
  <c r="AS147" i="24" s="1"/>
  <c r="AR146" i="24"/>
  <c r="L49" i="24" s="1"/>
  <c r="AQ146" i="24"/>
  <c r="K50" i="24" s="1"/>
  <c r="AP146" i="24"/>
  <c r="L47" i="24" s="1"/>
  <c r="AO146" i="24"/>
  <c r="L46" i="24" s="1"/>
  <c r="AK146" i="24"/>
  <c r="AK147" i="24" s="1"/>
  <c r="AJ146" i="24"/>
  <c r="L43" i="24" s="1"/>
  <c r="AI146" i="24"/>
  <c r="K44" i="24" s="1"/>
  <c r="AH146" i="24"/>
  <c r="L41" i="24" s="1"/>
  <c r="AG146" i="24"/>
  <c r="L40" i="24" s="1"/>
  <c r="AC146" i="24"/>
  <c r="AC147" i="24" s="1"/>
  <c r="AB146" i="24"/>
  <c r="L37" i="24" s="1"/>
  <c r="AA146" i="24"/>
  <c r="K38" i="24" s="1"/>
  <c r="Z146" i="24"/>
  <c r="L35" i="24" s="1"/>
  <c r="Y146" i="24"/>
  <c r="L34" i="24" s="1"/>
  <c r="U146" i="24"/>
  <c r="U147" i="24" s="1"/>
  <c r="T146" i="24"/>
  <c r="L31" i="24" s="1"/>
  <c r="S146" i="24"/>
  <c r="K32" i="24" s="1"/>
  <c r="R146" i="24"/>
  <c r="L29" i="24" s="1"/>
  <c r="Q146" i="24"/>
  <c r="L28" i="24" s="1"/>
  <c r="CW133" i="24"/>
  <c r="CV133" i="24"/>
  <c r="CU133" i="24"/>
  <c r="CT133" i="24"/>
  <c r="CS133" i="24"/>
  <c r="CO133" i="24"/>
  <c r="CN133" i="24"/>
  <c r="K85" i="24" s="1"/>
  <c r="CM133" i="24"/>
  <c r="J86" i="24" s="1"/>
  <c r="CL133" i="24"/>
  <c r="K83" i="24" s="1"/>
  <c r="CK133" i="24"/>
  <c r="K82" i="24" s="1"/>
  <c r="CG133" i="24"/>
  <c r="CF133" i="24"/>
  <c r="K79" i="24" s="1"/>
  <c r="CE133" i="24"/>
  <c r="J80" i="24" s="1"/>
  <c r="CD133" i="24"/>
  <c r="K77" i="24" s="1"/>
  <c r="CC133" i="24"/>
  <c r="K76" i="24" s="1"/>
  <c r="BY133" i="24"/>
  <c r="BX133" i="24"/>
  <c r="K73" i="24" s="1"/>
  <c r="BW133" i="24"/>
  <c r="J74" i="24" s="1"/>
  <c r="BV133" i="24"/>
  <c r="K71" i="24" s="1"/>
  <c r="BU133" i="24"/>
  <c r="K70" i="24" s="1"/>
  <c r="BQ133" i="24"/>
  <c r="BP133" i="24"/>
  <c r="K67" i="24" s="1"/>
  <c r="BO133" i="24"/>
  <c r="J68" i="24" s="1"/>
  <c r="BN133" i="24"/>
  <c r="K65" i="24" s="1"/>
  <c r="BM133" i="24"/>
  <c r="K64" i="24" s="1"/>
  <c r="BI133" i="24"/>
  <c r="BH133" i="24"/>
  <c r="K61" i="24" s="1"/>
  <c r="BG133" i="24"/>
  <c r="J62" i="24" s="1"/>
  <c r="BF133" i="24"/>
  <c r="K59" i="24" s="1"/>
  <c r="BE133" i="24"/>
  <c r="K58" i="24" s="1"/>
  <c r="BA133" i="24"/>
  <c r="AZ133" i="24"/>
  <c r="K55" i="24" s="1"/>
  <c r="AY133" i="24"/>
  <c r="J56" i="24" s="1"/>
  <c r="AX133" i="24"/>
  <c r="K53" i="24" s="1"/>
  <c r="AW133" i="24"/>
  <c r="K52" i="24" s="1"/>
  <c r="AS133" i="24"/>
  <c r="AR133" i="24"/>
  <c r="K49" i="24" s="1"/>
  <c r="AQ133" i="24"/>
  <c r="J50" i="24" s="1"/>
  <c r="AP133" i="24"/>
  <c r="K47" i="24" s="1"/>
  <c r="AO133" i="24"/>
  <c r="K46" i="24" s="1"/>
  <c r="AK133" i="24"/>
  <c r="AJ133" i="24"/>
  <c r="K43" i="24" s="1"/>
  <c r="AI133" i="24"/>
  <c r="J44" i="24" s="1"/>
  <c r="AH133" i="24"/>
  <c r="K41" i="24" s="1"/>
  <c r="AG133" i="24"/>
  <c r="K40" i="24" s="1"/>
  <c r="AC133" i="24"/>
  <c r="AB133" i="24"/>
  <c r="K37" i="24" s="1"/>
  <c r="AA133" i="24"/>
  <c r="J38" i="24" s="1"/>
  <c r="Z133" i="24"/>
  <c r="K35" i="24" s="1"/>
  <c r="Y133" i="24"/>
  <c r="K34" i="24" s="1"/>
  <c r="U133" i="24"/>
  <c r="T133" i="24"/>
  <c r="K31" i="24" s="1"/>
  <c r="S133" i="24"/>
  <c r="J32" i="24" s="1"/>
  <c r="R133" i="24"/>
  <c r="K29" i="24" s="1"/>
  <c r="Q133" i="24"/>
  <c r="K28" i="24" s="1"/>
  <c r="CW120" i="24"/>
  <c r="CV120" i="24"/>
  <c r="CU120" i="24"/>
  <c r="CT120" i="24"/>
  <c r="CS120" i="24"/>
  <c r="CO120" i="24"/>
  <c r="CN120" i="24"/>
  <c r="J85" i="24" s="1"/>
  <c r="CM120" i="24"/>
  <c r="I86" i="24" s="1"/>
  <c r="CL120" i="24"/>
  <c r="CK120" i="24"/>
  <c r="J82" i="24" s="1"/>
  <c r="CG120" i="24"/>
  <c r="CF120" i="24"/>
  <c r="J79" i="24" s="1"/>
  <c r="CE120" i="24"/>
  <c r="I80" i="24" s="1"/>
  <c r="CD120" i="24"/>
  <c r="J77" i="24" s="1"/>
  <c r="CC120" i="24"/>
  <c r="J76" i="24" s="1"/>
  <c r="BY120" i="24"/>
  <c r="BX120" i="24"/>
  <c r="J73" i="24" s="1"/>
  <c r="BW120" i="24"/>
  <c r="I74" i="24" s="1"/>
  <c r="BV120" i="24"/>
  <c r="J71" i="24" s="1"/>
  <c r="BU120" i="24"/>
  <c r="J70" i="24" s="1"/>
  <c r="BQ120" i="24"/>
  <c r="BP120" i="24"/>
  <c r="J67" i="24" s="1"/>
  <c r="BO120" i="24"/>
  <c r="I68" i="24" s="1"/>
  <c r="BN120" i="24"/>
  <c r="J65" i="24" s="1"/>
  <c r="BM120" i="24"/>
  <c r="J64" i="24" s="1"/>
  <c r="BI120" i="24"/>
  <c r="BH120" i="24"/>
  <c r="J61" i="24" s="1"/>
  <c r="BG120" i="24"/>
  <c r="I62" i="24" s="1"/>
  <c r="BF120" i="24"/>
  <c r="J59" i="24" s="1"/>
  <c r="BE120" i="24"/>
  <c r="J58" i="24" s="1"/>
  <c r="BA120" i="24"/>
  <c r="AZ120" i="24"/>
  <c r="J55" i="24" s="1"/>
  <c r="AY120" i="24"/>
  <c r="I56" i="24" s="1"/>
  <c r="AX120" i="24"/>
  <c r="J53" i="24" s="1"/>
  <c r="AW120" i="24"/>
  <c r="J52" i="24" s="1"/>
  <c r="AS120" i="24"/>
  <c r="AR120" i="24"/>
  <c r="J49" i="24" s="1"/>
  <c r="AQ120" i="24"/>
  <c r="I50" i="24" s="1"/>
  <c r="AP120" i="24"/>
  <c r="J47" i="24" s="1"/>
  <c r="AO120" i="24"/>
  <c r="J46" i="24" s="1"/>
  <c r="AK120" i="24"/>
  <c r="AJ120" i="24"/>
  <c r="J43" i="24" s="1"/>
  <c r="AI120" i="24"/>
  <c r="I44" i="24" s="1"/>
  <c r="AH120" i="24"/>
  <c r="J41" i="24" s="1"/>
  <c r="AG120" i="24"/>
  <c r="J40" i="24" s="1"/>
  <c r="AC120" i="24"/>
  <c r="AB120" i="24"/>
  <c r="J37" i="24" s="1"/>
  <c r="AA120" i="24"/>
  <c r="I38" i="24" s="1"/>
  <c r="Z120" i="24"/>
  <c r="J35" i="24" s="1"/>
  <c r="Y120" i="24"/>
  <c r="J34" i="24" s="1"/>
  <c r="U120" i="24"/>
  <c r="T120" i="24"/>
  <c r="J31" i="24" s="1"/>
  <c r="S120" i="24"/>
  <c r="I32" i="24" s="1"/>
  <c r="R120" i="24"/>
  <c r="J29" i="24" s="1"/>
  <c r="Q120" i="24"/>
  <c r="J28" i="24" s="1"/>
  <c r="CW107" i="24"/>
  <c r="CV107" i="24"/>
  <c r="CU107" i="24"/>
  <c r="CO107" i="24"/>
  <c r="CN107" i="24"/>
  <c r="I85" i="24" s="1"/>
  <c r="CM107" i="24"/>
  <c r="H86" i="24" s="1"/>
  <c r="CL107" i="24"/>
  <c r="I83" i="24" s="1"/>
  <c r="CK107" i="24"/>
  <c r="I82" i="24" s="1"/>
  <c r="CG107" i="24"/>
  <c r="CF107" i="24"/>
  <c r="I79" i="24" s="1"/>
  <c r="CE107" i="24"/>
  <c r="H80" i="24" s="1"/>
  <c r="CD107" i="24"/>
  <c r="I77" i="24" s="1"/>
  <c r="CC107" i="24"/>
  <c r="I76" i="24" s="1"/>
  <c r="BY107" i="24"/>
  <c r="BX107" i="24"/>
  <c r="I73" i="24" s="1"/>
  <c r="BW107" i="24"/>
  <c r="H74" i="24" s="1"/>
  <c r="BV107" i="24"/>
  <c r="I71" i="24" s="1"/>
  <c r="BU107" i="24"/>
  <c r="I70" i="24" s="1"/>
  <c r="BQ107" i="24"/>
  <c r="BP107" i="24"/>
  <c r="I67" i="24" s="1"/>
  <c r="BO107" i="24"/>
  <c r="H68" i="24" s="1"/>
  <c r="BN107" i="24"/>
  <c r="I65" i="24" s="1"/>
  <c r="BM107" i="24"/>
  <c r="I64" i="24" s="1"/>
  <c r="BI107" i="24"/>
  <c r="BH107" i="24"/>
  <c r="I61" i="24" s="1"/>
  <c r="BG107" i="24"/>
  <c r="H62" i="24" s="1"/>
  <c r="BF107" i="24"/>
  <c r="I59" i="24" s="1"/>
  <c r="BE107" i="24"/>
  <c r="I58" i="24" s="1"/>
  <c r="BA107" i="24"/>
  <c r="AZ107" i="24"/>
  <c r="I55" i="24" s="1"/>
  <c r="AY107" i="24"/>
  <c r="H56" i="24" s="1"/>
  <c r="AX107" i="24"/>
  <c r="I53" i="24" s="1"/>
  <c r="AW107" i="24"/>
  <c r="I52" i="24" s="1"/>
  <c r="AS107" i="24"/>
  <c r="AR107" i="24"/>
  <c r="I49" i="24" s="1"/>
  <c r="AQ107" i="24"/>
  <c r="H50" i="24" s="1"/>
  <c r="AP107" i="24"/>
  <c r="I47" i="24" s="1"/>
  <c r="AO107" i="24"/>
  <c r="I46" i="24" s="1"/>
  <c r="AK107" i="24"/>
  <c r="AJ107" i="24"/>
  <c r="I43" i="24" s="1"/>
  <c r="AI107" i="24"/>
  <c r="H44" i="24" s="1"/>
  <c r="AH107" i="24"/>
  <c r="I41" i="24" s="1"/>
  <c r="AG107" i="24"/>
  <c r="I40" i="24" s="1"/>
  <c r="AC107" i="24"/>
  <c r="AB107" i="24"/>
  <c r="I37" i="24" s="1"/>
  <c r="AA107" i="24"/>
  <c r="H38" i="24" s="1"/>
  <c r="Z107" i="24"/>
  <c r="I35" i="24" s="1"/>
  <c r="Y107" i="24"/>
  <c r="I34" i="24" s="1"/>
  <c r="U107" i="24"/>
  <c r="T107" i="24"/>
  <c r="I31" i="24" s="1"/>
  <c r="S107" i="24"/>
  <c r="H32" i="24" s="1"/>
  <c r="R107" i="24"/>
  <c r="I29" i="24" s="1"/>
  <c r="Q107" i="24"/>
  <c r="I28" i="24" s="1"/>
  <c r="CS96" i="24"/>
  <c r="CT96" i="24" s="1"/>
  <c r="CS95" i="24"/>
  <c r="CU94" i="24"/>
  <c r="CO94" i="24"/>
  <c r="CN94" i="24"/>
  <c r="H85" i="24" s="1"/>
  <c r="CM94" i="24"/>
  <c r="G86" i="24" s="1"/>
  <c r="CL94" i="24"/>
  <c r="H83" i="24" s="1"/>
  <c r="CK94" i="24"/>
  <c r="H82" i="24" s="1"/>
  <c r="CG94" i="24"/>
  <c r="CF94" i="24"/>
  <c r="H79" i="24" s="1"/>
  <c r="CE94" i="24"/>
  <c r="G80" i="24" s="1"/>
  <c r="CD94" i="24"/>
  <c r="H77" i="24" s="1"/>
  <c r="CC94" i="24"/>
  <c r="H76" i="24" s="1"/>
  <c r="BY94" i="24"/>
  <c r="BX94" i="24"/>
  <c r="H73" i="24" s="1"/>
  <c r="BW94" i="24"/>
  <c r="G74" i="24" s="1"/>
  <c r="BV94" i="24"/>
  <c r="H71" i="24" s="1"/>
  <c r="BU94" i="24"/>
  <c r="H70" i="24" s="1"/>
  <c r="BQ94" i="24"/>
  <c r="BP94" i="24"/>
  <c r="H67" i="24" s="1"/>
  <c r="BO94" i="24"/>
  <c r="G68" i="24" s="1"/>
  <c r="BN94" i="24"/>
  <c r="H65" i="24" s="1"/>
  <c r="BM94" i="24"/>
  <c r="H64" i="24" s="1"/>
  <c r="BI94" i="24"/>
  <c r="BH94" i="24"/>
  <c r="H61" i="24" s="1"/>
  <c r="BG94" i="24"/>
  <c r="G62" i="24" s="1"/>
  <c r="BF94" i="24"/>
  <c r="H59" i="24" s="1"/>
  <c r="BE94" i="24"/>
  <c r="H58" i="24" s="1"/>
  <c r="BA94" i="24"/>
  <c r="AZ94" i="24"/>
  <c r="H55" i="24" s="1"/>
  <c r="AY94" i="24"/>
  <c r="G56" i="24" s="1"/>
  <c r="AX94" i="24"/>
  <c r="H53" i="24" s="1"/>
  <c r="AW94" i="24"/>
  <c r="H52" i="24" s="1"/>
  <c r="AS94" i="24"/>
  <c r="AR94" i="24"/>
  <c r="H49" i="24" s="1"/>
  <c r="AQ94" i="24"/>
  <c r="G50" i="24" s="1"/>
  <c r="AP94" i="24"/>
  <c r="H47" i="24" s="1"/>
  <c r="AO94" i="24"/>
  <c r="H46" i="24" s="1"/>
  <c r="AK94" i="24"/>
  <c r="AJ94" i="24"/>
  <c r="H43" i="24" s="1"/>
  <c r="AI94" i="24"/>
  <c r="G44" i="24" s="1"/>
  <c r="AH94" i="24"/>
  <c r="H41" i="24" s="1"/>
  <c r="AG94" i="24"/>
  <c r="H40" i="24" s="1"/>
  <c r="AC94" i="24"/>
  <c r="AB94" i="24"/>
  <c r="H37" i="24" s="1"/>
  <c r="AA94" i="24"/>
  <c r="G38" i="24" s="1"/>
  <c r="Z94" i="24"/>
  <c r="H35" i="24" s="1"/>
  <c r="Y94" i="24"/>
  <c r="H34" i="24" s="1"/>
  <c r="U94" i="24"/>
  <c r="T94" i="24"/>
  <c r="H31" i="24" s="1"/>
  <c r="S94" i="24"/>
  <c r="G32" i="24" s="1"/>
  <c r="R94" i="24"/>
  <c r="H29" i="24" s="1"/>
  <c r="Q94" i="24"/>
  <c r="H28" i="24" s="1"/>
  <c r="CW93" i="24"/>
  <c r="CW94" i="24" s="1"/>
  <c r="CV93" i="24"/>
  <c r="CS93" i="24"/>
  <c r="CT93" i="24" s="1"/>
  <c r="CW92" i="24"/>
  <c r="CV92" i="24"/>
  <c r="CS92" i="24"/>
  <c r="L92" i="24"/>
  <c r="CW91" i="24"/>
  <c r="CV91" i="24"/>
  <c r="CS91" i="24"/>
  <c r="CT91" i="24" s="1"/>
  <c r="CW90" i="24"/>
  <c r="CV90" i="24"/>
  <c r="CS90" i="24"/>
  <c r="CW89" i="24"/>
  <c r="CV89" i="24"/>
  <c r="CS89" i="24"/>
  <c r="CT89" i="24" s="1"/>
  <c r="CW88" i="24"/>
  <c r="CV88" i="24"/>
  <c r="CS88" i="24"/>
  <c r="CW87" i="24"/>
  <c r="CV87" i="24"/>
  <c r="CS87" i="24"/>
  <c r="CT87" i="24" s="1"/>
  <c r="L87" i="24"/>
  <c r="CW86" i="24"/>
  <c r="CV86" i="24"/>
  <c r="CS86" i="24"/>
  <c r="CW85" i="24"/>
  <c r="CV85" i="24"/>
  <c r="CS85" i="24"/>
  <c r="CW84" i="24"/>
  <c r="CV84" i="24"/>
  <c r="CS84" i="24"/>
  <c r="CT84" i="24" s="1"/>
  <c r="CW83" i="24"/>
  <c r="CV83" i="24"/>
  <c r="CS83" i="24"/>
  <c r="J83" i="24"/>
  <c r="CW82" i="24"/>
  <c r="CV82" i="24"/>
  <c r="CS82" i="24"/>
  <c r="CT82" i="24" s="1"/>
  <c r="A82" i="24"/>
  <c r="DJ81" i="24"/>
  <c r="DI81" i="24"/>
  <c r="DH81" i="24"/>
  <c r="DG81" i="24"/>
  <c r="DF81" i="24"/>
  <c r="DE81" i="24"/>
  <c r="DD81" i="24"/>
  <c r="CU81" i="24"/>
  <c r="CO81" i="24"/>
  <c r="DJ82" i="24" s="1"/>
  <c r="CN81" i="24"/>
  <c r="G85" i="24" s="1"/>
  <c r="CM81" i="24"/>
  <c r="F86" i="24" s="1"/>
  <c r="CL81" i="24"/>
  <c r="G83" i="24" s="1"/>
  <c r="CK81" i="24"/>
  <c r="G82" i="24" s="1"/>
  <c r="CG81" i="24"/>
  <c r="DI82" i="24" s="1"/>
  <c r="CF81" i="24"/>
  <c r="G79" i="24" s="1"/>
  <c r="CE81" i="24"/>
  <c r="F80" i="24" s="1"/>
  <c r="CD81" i="24"/>
  <c r="G77" i="24" s="1"/>
  <c r="CC81" i="24"/>
  <c r="G76" i="24" s="1"/>
  <c r="BY81" i="24"/>
  <c r="BX81" i="24"/>
  <c r="G73" i="24" s="1"/>
  <c r="BW81" i="24"/>
  <c r="F74" i="24" s="1"/>
  <c r="BV81" i="24"/>
  <c r="G71" i="24" s="1"/>
  <c r="BU81" i="24"/>
  <c r="G70" i="24" s="1"/>
  <c r="BQ81" i="24"/>
  <c r="BP81" i="24"/>
  <c r="G67" i="24" s="1"/>
  <c r="BO81" i="24"/>
  <c r="F68" i="24" s="1"/>
  <c r="BN81" i="24"/>
  <c r="G65" i="24" s="1"/>
  <c r="BM81" i="24"/>
  <c r="G64" i="24" s="1"/>
  <c r="BI81" i="24"/>
  <c r="DF82" i="24" s="1"/>
  <c r="BH81" i="24"/>
  <c r="G61" i="24" s="1"/>
  <c r="BG81" i="24"/>
  <c r="F62" i="24" s="1"/>
  <c r="BF81" i="24"/>
  <c r="G59" i="24" s="1"/>
  <c r="BE81" i="24"/>
  <c r="G58" i="24" s="1"/>
  <c r="BA81" i="24"/>
  <c r="DE82" i="24" s="1"/>
  <c r="AZ81" i="24"/>
  <c r="G55" i="24" s="1"/>
  <c r="AY81" i="24"/>
  <c r="F56" i="24" s="1"/>
  <c r="AX81" i="24"/>
  <c r="G53" i="24" s="1"/>
  <c r="AW81" i="24"/>
  <c r="G52" i="24" s="1"/>
  <c r="AS81" i="24"/>
  <c r="DD82" i="24" s="1"/>
  <c r="AR81" i="24"/>
  <c r="G49" i="24" s="1"/>
  <c r="AQ81" i="24"/>
  <c r="F50" i="24" s="1"/>
  <c r="AP81" i="24"/>
  <c r="G47" i="24" s="1"/>
  <c r="AO81" i="24"/>
  <c r="G46" i="24" s="1"/>
  <c r="AK81" i="24"/>
  <c r="AJ81" i="24"/>
  <c r="G43" i="24" s="1"/>
  <c r="AI81" i="24"/>
  <c r="F44" i="24" s="1"/>
  <c r="AH81" i="24"/>
  <c r="G41" i="24" s="1"/>
  <c r="AG81" i="24"/>
  <c r="G40" i="24" s="1"/>
  <c r="AC81" i="24"/>
  <c r="AB81" i="24"/>
  <c r="G37" i="24" s="1"/>
  <c r="AA81" i="24"/>
  <c r="F38" i="24" s="1"/>
  <c r="Z81" i="24"/>
  <c r="G35" i="24" s="1"/>
  <c r="Y81" i="24"/>
  <c r="G34" i="24" s="1"/>
  <c r="U81" i="24"/>
  <c r="T81" i="24"/>
  <c r="G31" i="24" s="1"/>
  <c r="S81" i="24"/>
  <c r="F32" i="24" s="1"/>
  <c r="R81" i="24"/>
  <c r="G29" i="24" s="1"/>
  <c r="Q81" i="24"/>
  <c r="G28" i="24" s="1"/>
  <c r="DJ80" i="24"/>
  <c r="DI80" i="24"/>
  <c r="DH80" i="24"/>
  <c r="DG80" i="24"/>
  <c r="DF80" i="24"/>
  <c r="DE80" i="24"/>
  <c r="DD80" i="24"/>
  <c r="CW80" i="24"/>
  <c r="DK81" i="24" s="1"/>
  <c r="CV80" i="24"/>
  <c r="CS80" i="24"/>
  <c r="DJ79" i="24"/>
  <c r="DI79" i="24"/>
  <c r="DH79" i="24"/>
  <c r="DG79" i="24"/>
  <c r="DF79" i="24"/>
  <c r="DE79" i="24"/>
  <c r="DD79" i="24"/>
  <c r="CW79" i="24"/>
  <c r="DK80" i="24" s="1"/>
  <c r="CV79" i="24"/>
  <c r="CS79" i="24"/>
  <c r="CT79" i="24" s="1"/>
  <c r="DJ78" i="24"/>
  <c r="DI78" i="24"/>
  <c r="DH78" i="24"/>
  <c r="DG78" i="24"/>
  <c r="DF78" i="24"/>
  <c r="DE78" i="24"/>
  <c r="DD78" i="24"/>
  <c r="CW78" i="24"/>
  <c r="DK79" i="24" s="1"/>
  <c r="CV78" i="24"/>
  <c r="CS78" i="24"/>
  <c r="CT78" i="24" s="1"/>
  <c r="DJ77" i="24"/>
  <c r="DI77" i="24"/>
  <c r="DH77" i="24"/>
  <c r="DG77" i="24"/>
  <c r="DF77" i="24"/>
  <c r="DE77" i="24"/>
  <c r="DD77" i="24"/>
  <c r="CW77" i="24"/>
  <c r="DK78" i="24" s="1"/>
  <c r="CV77" i="24"/>
  <c r="CS77" i="24"/>
  <c r="CT77" i="24" s="1"/>
  <c r="DJ76" i="24"/>
  <c r="DI76" i="24"/>
  <c r="DH76" i="24"/>
  <c r="DG76" i="24"/>
  <c r="DF76" i="24"/>
  <c r="DE76" i="24"/>
  <c r="DD76" i="24"/>
  <c r="CW76" i="24"/>
  <c r="DK77" i="24" s="1"/>
  <c r="CV76" i="24"/>
  <c r="CS76" i="24"/>
  <c r="CT76" i="24" s="1"/>
  <c r="A76" i="24"/>
  <c r="DJ75" i="24"/>
  <c r="DI75" i="24"/>
  <c r="DH75" i="24"/>
  <c r="DG75" i="24"/>
  <c r="DF75" i="24"/>
  <c r="DE75" i="24"/>
  <c r="DD75" i="24"/>
  <c r="CW75" i="24"/>
  <c r="DK76" i="24" s="1"/>
  <c r="CV75" i="24"/>
  <c r="CS75" i="24"/>
  <c r="DJ74" i="24"/>
  <c r="DI74" i="24"/>
  <c r="DH74" i="24"/>
  <c r="DG74" i="24"/>
  <c r="DF74" i="24"/>
  <c r="DE74" i="24"/>
  <c r="DD74" i="24"/>
  <c r="CW74" i="24"/>
  <c r="DK75" i="24" s="1"/>
  <c r="CV74" i="24"/>
  <c r="CS74" i="24"/>
  <c r="DJ73" i="24"/>
  <c r="DI73" i="24"/>
  <c r="DH73" i="24"/>
  <c r="DG73" i="24"/>
  <c r="DF73" i="24"/>
  <c r="DE73" i="24"/>
  <c r="DD73" i="24"/>
  <c r="CW73" i="24"/>
  <c r="DK74" i="24" s="1"/>
  <c r="CV73" i="24"/>
  <c r="CS73" i="24"/>
  <c r="CT73" i="24" s="1"/>
  <c r="DJ72" i="24"/>
  <c r="DI72" i="24"/>
  <c r="DH72" i="24"/>
  <c r="DG72" i="24"/>
  <c r="DF72" i="24"/>
  <c r="DE72" i="24"/>
  <c r="DD72" i="24"/>
  <c r="CW72" i="24"/>
  <c r="DK73" i="24" s="1"/>
  <c r="CV72" i="24"/>
  <c r="CS72" i="24"/>
  <c r="CT72" i="24" s="1"/>
  <c r="DJ71" i="24"/>
  <c r="DI71" i="24"/>
  <c r="DH71" i="24"/>
  <c r="DG71" i="24"/>
  <c r="DF71" i="24"/>
  <c r="DE71" i="24"/>
  <c r="DD71" i="24"/>
  <c r="CW71" i="24"/>
  <c r="DK72" i="24" s="1"/>
  <c r="CV71" i="24"/>
  <c r="CS71" i="24"/>
  <c r="CT71" i="24" s="1"/>
  <c r="DJ70" i="24"/>
  <c r="DI70" i="24"/>
  <c r="DH70" i="24"/>
  <c r="DG70" i="24"/>
  <c r="DF70" i="24"/>
  <c r="DE70" i="24"/>
  <c r="DD70" i="24"/>
  <c r="CW70" i="24"/>
  <c r="DK71" i="24" s="1"/>
  <c r="CV70" i="24"/>
  <c r="CS70" i="24"/>
  <c r="CT70" i="24" s="1"/>
  <c r="A70" i="24"/>
  <c r="CW69" i="24"/>
  <c r="DK70" i="24" s="1"/>
  <c r="CV69" i="24"/>
  <c r="CS69" i="24"/>
  <c r="DJ68" i="24"/>
  <c r="DI68" i="24"/>
  <c r="DH68" i="24"/>
  <c r="DG68" i="24"/>
  <c r="DF68" i="24"/>
  <c r="DE68" i="24"/>
  <c r="DD68" i="24"/>
  <c r="CU68" i="24"/>
  <c r="CO68" i="24"/>
  <c r="CN68" i="24"/>
  <c r="F85" i="24" s="1"/>
  <c r="CM68" i="24"/>
  <c r="E86" i="24" s="1"/>
  <c r="CL68" i="24"/>
  <c r="F83" i="24" s="1"/>
  <c r="CK68" i="24"/>
  <c r="F82" i="24" s="1"/>
  <c r="CG68" i="24"/>
  <c r="DI69" i="24" s="1"/>
  <c r="CF68" i="24"/>
  <c r="F79" i="24" s="1"/>
  <c r="CE68" i="24"/>
  <c r="E80" i="24" s="1"/>
  <c r="CD68" i="24"/>
  <c r="F77" i="24" s="1"/>
  <c r="CC68" i="24"/>
  <c r="F76" i="24" s="1"/>
  <c r="BY68" i="24"/>
  <c r="DH69" i="24" s="1"/>
  <c r="BX68" i="24"/>
  <c r="F73" i="24" s="1"/>
  <c r="BW68" i="24"/>
  <c r="E74" i="24" s="1"/>
  <c r="BV68" i="24"/>
  <c r="F71" i="24" s="1"/>
  <c r="BU68" i="24"/>
  <c r="F70" i="24" s="1"/>
  <c r="BQ68" i="24"/>
  <c r="DG69" i="24" s="1"/>
  <c r="BP68" i="24"/>
  <c r="F67" i="24" s="1"/>
  <c r="BO68" i="24"/>
  <c r="E68" i="24" s="1"/>
  <c r="BN68" i="24"/>
  <c r="F65" i="24" s="1"/>
  <c r="BM68" i="24"/>
  <c r="F64" i="24" s="1"/>
  <c r="BI68" i="24"/>
  <c r="DF69" i="24" s="1"/>
  <c r="BH68" i="24"/>
  <c r="F61" i="24" s="1"/>
  <c r="BG68" i="24"/>
  <c r="E62" i="24" s="1"/>
  <c r="BF68" i="24"/>
  <c r="F59" i="24" s="1"/>
  <c r="BE68" i="24"/>
  <c r="F58" i="24" s="1"/>
  <c r="BA68" i="24"/>
  <c r="DE69" i="24" s="1"/>
  <c r="AZ68" i="24"/>
  <c r="F55" i="24" s="1"/>
  <c r="AY68" i="24"/>
  <c r="E56" i="24" s="1"/>
  <c r="AX68" i="24"/>
  <c r="F53" i="24" s="1"/>
  <c r="AW68" i="24"/>
  <c r="F52" i="24" s="1"/>
  <c r="AS68" i="24"/>
  <c r="DD69" i="24" s="1"/>
  <c r="AR68" i="24"/>
  <c r="F49" i="24" s="1"/>
  <c r="AQ68" i="24"/>
  <c r="E50" i="24" s="1"/>
  <c r="AP68" i="24"/>
  <c r="F47" i="24" s="1"/>
  <c r="AO68" i="24"/>
  <c r="F46" i="24" s="1"/>
  <c r="AK68" i="24"/>
  <c r="AJ68" i="24"/>
  <c r="F43" i="24" s="1"/>
  <c r="AI68" i="24"/>
  <c r="E44" i="24" s="1"/>
  <c r="AH68" i="24"/>
  <c r="F41" i="24" s="1"/>
  <c r="AG68" i="24"/>
  <c r="F40" i="24" s="1"/>
  <c r="AC68" i="24"/>
  <c r="AB68" i="24"/>
  <c r="F37" i="24" s="1"/>
  <c r="AA68" i="24"/>
  <c r="E38" i="24" s="1"/>
  <c r="Z68" i="24"/>
  <c r="F35" i="24" s="1"/>
  <c r="Y68" i="24"/>
  <c r="F34" i="24" s="1"/>
  <c r="U68" i="24"/>
  <c r="T68" i="24"/>
  <c r="F31" i="24" s="1"/>
  <c r="S68" i="24"/>
  <c r="E32" i="24" s="1"/>
  <c r="R68" i="24"/>
  <c r="F29" i="24" s="1"/>
  <c r="Q68" i="24"/>
  <c r="F28" i="24" s="1"/>
  <c r="DJ67" i="24"/>
  <c r="DI67" i="24"/>
  <c r="DH67" i="24"/>
  <c r="DG67" i="24"/>
  <c r="DF67" i="24"/>
  <c r="DE67" i="24"/>
  <c r="DD67" i="24"/>
  <c r="CW67" i="24"/>
  <c r="CW68" i="24" s="1"/>
  <c r="DK69" i="24" s="1"/>
  <c r="CV67" i="24"/>
  <c r="CS67" i="24"/>
  <c r="DJ66" i="24"/>
  <c r="DI66" i="24"/>
  <c r="DH66" i="24"/>
  <c r="DG66" i="24"/>
  <c r="DF66" i="24"/>
  <c r="DE66" i="24"/>
  <c r="DD66" i="24"/>
  <c r="CW66" i="24"/>
  <c r="DK67" i="24" s="1"/>
  <c r="CV66" i="24"/>
  <c r="CS66" i="24"/>
  <c r="DJ65" i="24"/>
  <c r="DI65" i="24"/>
  <c r="DH65" i="24"/>
  <c r="DG65" i="24"/>
  <c r="DF65" i="24"/>
  <c r="DE65" i="24"/>
  <c r="DD65" i="24"/>
  <c r="CW65" i="24"/>
  <c r="DK66" i="24" s="1"/>
  <c r="CV65" i="24"/>
  <c r="CS65" i="24"/>
  <c r="DJ64" i="24"/>
  <c r="DI64" i="24"/>
  <c r="DH64" i="24"/>
  <c r="DG64" i="24"/>
  <c r="DF64" i="24"/>
  <c r="DE64" i="24"/>
  <c r="DD64" i="24"/>
  <c r="CW64" i="24"/>
  <c r="DK65" i="24" s="1"/>
  <c r="CV64" i="24"/>
  <c r="CS64" i="24"/>
  <c r="A64" i="24"/>
  <c r="DJ63" i="24"/>
  <c r="DI63" i="24"/>
  <c r="DH63" i="24"/>
  <c r="DG63" i="24"/>
  <c r="DF63" i="24"/>
  <c r="DE63" i="24"/>
  <c r="DD63" i="24"/>
  <c r="CW63" i="24"/>
  <c r="DK64" i="24" s="1"/>
  <c r="CV63" i="24"/>
  <c r="CS63" i="24"/>
  <c r="CT63" i="24" s="1"/>
  <c r="DJ62" i="24"/>
  <c r="DI62" i="24"/>
  <c r="DH62" i="24"/>
  <c r="DG62" i="24"/>
  <c r="DF62" i="24"/>
  <c r="DE62" i="24"/>
  <c r="DD62" i="24"/>
  <c r="CW62" i="24"/>
  <c r="DK63" i="24" s="1"/>
  <c r="CV62" i="24"/>
  <c r="CS62" i="24"/>
  <c r="CT62" i="24" s="1"/>
  <c r="DJ61" i="24"/>
  <c r="DI61" i="24"/>
  <c r="DH61" i="24"/>
  <c r="DG61" i="24"/>
  <c r="DF61" i="24"/>
  <c r="DE61" i="24"/>
  <c r="DD61" i="24"/>
  <c r="CW61" i="24"/>
  <c r="DK62" i="24" s="1"/>
  <c r="CV61" i="24"/>
  <c r="CS61" i="24"/>
  <c r="DJ60" i="24"/>
  <c r="DI60" i="24"/>
  <c r="DH60" i="24"/>
  <c r="DG60" i="24"/>
  <c r="DF60" i="24"/>
  <c r="DE60" i="24"/>
  <c r="DD60" i="24"/>
  <c r="CW60" i="24"/>
  <c r="DK61" i="24" s="1"/>
  <c r="CV60" i="24"/>
  <c r="CS60" i="24"/>
  <c r="DJ59" i="24"/>
  <c r="DI59" i="24"/>
  <c r="DH59" i="24"/>
  <c r="DG59" i="24"/>
  <c r="DF59" i="24"/>
  <c r="DE59" i="24"/>
  <c r="DD59" i="24"/>
  <c r="CW59" i="24"/>
  <c r="DK60" i="24" s="1"/>
  <c r="CV59" i="24"/>
  <c r="CS59" i="24"/>
  <c r="DJ58" i="24"/>
  <c r="DI58" i="24"/>
  <c r="DH58" i="24"/>
  <c r="DG58" i="24"/>
  <c r="DF58" i="24"/>
  <c r="DE58" i="24"/>
  <c r="DD58" i="24"/>
  <c r="CW58" i="24"/>
  <c r="DK59" i="24" s="1"/>
  <c r="CV58" i="24"/>
  <c r="CS58" i="24"/>
  <c r="A58" i="24"/>
  <c r="DJ57" i="24"/>
  <c r="DI57" i="24"/>
  <c r="DH57" i="24"/>
  <c r="DG57" i="24"/>
  <c r="DF57" i="24"/>
  <c r="DE57" i="24"/>
  <c r="DD57" i="24"/>
  <c r="CW57" i="24"/>
  <c r="DK58" i="24" s="1"/>
  <c r="CV57" i="24"/>
  <c r="CS57" i="24"/>
  <c r="CT57" i="24" s="1"/>
  <c r="CW56" i="24"/>
  <c r="DK57" i="24" s="1"/>
  <c r="CV56" i="24"/>
  <c r="CS56" i="24"/>
  <c r="CT56" i="24" s="1"/>
  <c r="DJ55" i="24"/>
  <c r="DI55" i="24"/>
  <c r="DH55" i="24"/>
  <c r="DG55" i="24"/>
  <c r="DF55" i="24"/>
  <c r="DE55" i="24"/>
  <c r="DD55" i="24"/>
  <c r="CU55" i="24"/>
  <c r="CO55" i="24"/>
  <c r="CN55" i="24"/>
  <c r="E85" i="24" s="1"/>
  <c r="CM55" i="24"/>
  <c r="D86" i="24" s="1"/>
  <c r="CL55" i="24"/>
  <c r="E83" i="24" s="1"/>
  <c r="CK55" i="24"/>
  <c r="E82" i="24" s="1"/>
  <c r="CG55" i="24"/>
  <c r="DI56" i="24" s="1"/>
  <c r="CF55" i="24"/>
  <c r="E79" i="24" s="1"/>
  <c r="CE55" i="24"/>
  <c r="D80" i="24" s="1"/>
  <c r="CD55" i="24"/>
  <c r="E77" i="24" s="1"/>
  <c r="CC55" i="24"/>
  <c r="E76" i="24" s="1"/>
  <c r="BY55" i="24"/>
  <c r="DH56" i="24" s="1"/>
  <c r="BX55" i="24"/>
  <c r="E73" i="24" s="1"/>
  <c r="BW55" i="24"/>
  <c r="D74" i="24" s="1"/>
  <c r="BV55" i="24"/>
  <c r="E71" i="24" s="1"/>
  <c r="BU55" i="24"/>
  <c r="E70" i="24" s="1"/>
  <c r="BQ55" i="24"/>
  <c r="BP55" i="24"/>
  <c r="E67" i="24" s="1"/>
  <c r="BO55" i="24"/>
  <c r="D68" i="24" s="1"/>
  <c r="BN55" i="24"/>
  <c r="E65" i="24" s="1"/>
  <c r="BM55" i="24"/>
  <c r="E64" i="24" s="1"/>
  <c r="BI55" i="24"/>
  <c r="DF56" i="24" s="1"/>
  <c r="BH55" i="24"/>
  <c r="E61" i="24" s="1"/>
  <c r="BG55" i="24"/>
  <c r="D62" i="24" s="1"/>
  <c r="BF55" i="24"/>
  <c r="E59" i="24" s="1"/>
  <c r="BE55" i="24"/>
  <c r="E58" i="24" s="1"/>
  <c r="BA55" i="24"/>
  <c r="AZ55" i="24"/>
  <c r="E55" i="24" s="1"/>
  <c r="AY55" i="24"/>
  <c r="D56" i="24" s="1"/>
  <c r="AX55" i="24"/>
  <c r="E53" i="24" s="1"/>
  <c r="AW55" i="24"/>
  <c r="E52" i="24" s="1"/>
  <c r="AS55" i="24"/>
  <c r="DD56" i="24" s="1"/>
  <c r="AR55" i="24"/>
  <c r="E49" i="24" s="1"/>
  <c r="AQ55" i="24"/>
  <c r="D50" i="24" s="1"/>
  <c r="AP55" i="24"/>
  <c r="E47" i="24" s="1"/>
  <c r="AO55" i="24"/>
  <c r="E46" i="24" s="1"/>
  <c r="AK55" i="24"/>
  <c r="AJ55" i="24"/>
  <c r="E43" i="24" s="1"/>
  <c r="AI55" i="24"/>
  <c r="D44" i="24" s="1"/>
  <c r="AH55" i="24"/>
  <c r="E41" i="24" s="1"/>
  <c r="AG55" i="24"/>
  <c r="E40" i="24" s="1"/>
  <c r="AC55" i="24"/>
  <c r="AB55" i="24"/>
  <c r="E37" i="24" s="1"/>
  <c r="AA55" i="24"/>
  <c r="D38" i="24" s="1"/>
  <c r="Z55" i="24"/>
  <c r="E35" i="24" s="1"/>
  <c r="Y55" i="24"/>
  <c r="E34" i="24" s="1"/>
  <c r="U55" i="24"/>
  <c r="T55" i="24"/>
  <c r="E31" i="24" s="1"/>
  <c r="S55" i="24"/>
  <c r="D32" i="24" s="1"/>
  <c r="R55" i="24"/>
  <c r="E29" i="24" s="1"/>
  <c r="Q55" i="24"/>
  <c r="E28" i="24" s="1"/>
  <c r="DJ54" i="24"/>
  <c r="DI54" i="24"/>
  <c r="DH54" i="24"/>
  <c r="DG54" i="24"/>
  <c r="DF54" i="24"/>
  <c r="DE54" i="24"/>
  <c r="DD54" i="24"/>
  <c r="CW54" i="24"/>
  <c r="CV54" i="24"/>
  <c r="CS54" i="24"/>
  <c r="CT54" i="24" s="1"/>
  <c r="DJ53" i="24"/>
  <c r="DI53" i="24"/>
  <c r="DH53" i="24"/>
  <c r="DG53" i="24"/>
  <c r="DF53" i="24"/>
  <c r="DE53" i="24"/>
  <c r="DD53" i="24"/>
  <c r="CW53" i="24"/>
  <c r="DK54" i="24" s="1"/>
  <c r="CV53" i="24"/>
  <c r="CS53" i="24"/>
  <c r="CT53" i="24" s="1"/>
  <c r="DJ52" i="24"/>
  <c r="DI52" i="24"/>
  <c r="DH52" i="24"/>
  <c r="DG52" i="24"/>
  <c r="DF52" i="24"/>
  <c r="DE52" i="24"/>
  <c r="DD52" i="24"/>
  <c r="CW52" i="24"/>
  <c r="DK53" i="24" s="1"/>
  <c r="CV52" i="24"/>
  <c r="CS52" i="24"/>
  <c r="CT52" i="24" s="1"/>
  <c r="A52" i="24"/>
  <c r="DJ51" i="24"/>
  <c r="DI51" i="24"/>
  <c r="DH51" i="24"/>
  <c r="DG51" i="24"/>
  <c r="DF51" i="24"/>
  <c r="DE51" i="24"/>
  <c r="DD51" i="24"/>
  <c r="CW51" i="24"/>
  <c r="DK52" i="24" s="1"/>
  <c r="CV51" i="24"/>
  <c r="CS51" i="24"/>
  <c r="DJ50" i="24"/>
  <c r="DI50" i="24"/>
  <c r="DH50" i="24"/>
  <c r="DG50" i="24"/>
  <c r="DF50" i="24"/>
  <c r="DE50" i="24"/>
  <c r="DD50" i="24"/>
  <c r="CW50" i="24"/>
  <c r="DK51" i="24" s="1"/>
  <c r="CV50" i="24"/>
  <c r="CS50" i="24"/>
  <c r="DJ49" i="24"/>
  <c r="DI49" i="24"/>
  <c r="DH49" i="24"/>
  <c r="DG49" i="24"/>
  <c r="DF49" i="24"/>
  <c r="DE49" i="24"/>
  <c r="DD49" i="24"/>
  <c r="CW49" i="24"/>
  <c r="DK50" i="24" s="1"/>
  <c r="CV49" i="24"/>
  <c r="CS49" i="24"/>
  <c r="CT49" i="24" s="1"/>
  <c r="DJ48" i="24"/>
  <c r="DI48" i="24"/>
  <c r="DH48" i="24"/>
  <c r="DG48" i="24"/>
  <c r="DF48" i="24"/>
  <c r="DE48" i="24"/>
  <c r="DD48" i="24"/>
  <c r="CW48" i="24"/>
  <c r="DK49" i="24" s="1"/>
  <c r="CV48" i="24"/>
  <c r="CS48" i="24"/>
  <c r="CT48" i="24" s="1"/>
  <c r="DJ47" i="24"/>
  <c r="DI47" i="24"/>
  <c r="DH47" i="24"/>
  <c r="DG47" i="24"/>
  <c r="DF47" i="24"/>
  <c r="DE47" i="24"/>
  <c r="DD47" i="24"/>
  <c r="CW47" i="24"/>
  <c r="DK48" i="24" s="1"/>
  <c r="CV47" i="24"/>
  <c r="CS47" i="24"/>
  <c r="CT47" i="24" s="1"/>
  <c r="DJ46" i="24"/>
  <c r="DI46" i="24"/>
  <c r="DH46" i="24"/>
  <c r="DG46" i="24"/>
  <c r="DF46" i="24"/>
  <c r="DE46" i="24"/>
  <c r="DD46" i="24"/>
  <c r="CW46" i="24"/>
  <c r="DK47" i="24" s="1"/>
  <c r="CV46" i="24"/>
  <c r="CS46" i="24"/>
  <c r="CT46" i="24" s="1"/>
  <c r="A46" i="24"/>
  <c r="DJ45" i="24"/>
  <c r="DI45" i="24"/>
  <c r="DH45" i="24"/>
  <c r="DG45" i="24"/>
  <c r="DF45" i="24"/>
  <c r="DE45" i="24"/>
  <c r="DD45" i="24"/>
  <c r="CW45" i="24"/>
  <c r="DK46" i="24" s="1"/>
  <c r="CV45" i="24"/>
  <c r="CS45" i="24"/>
  <c r="DJ44" i="24"/>
  <c r="DI44" i="24"/>
  <c r="DH44" i="24"/>
  <c r="DG44" i="24"/>
  <c r="DF44" i="24"/>
  <c r="DE44" i="24"/>
  <c r="DD44" i="24"/>
  <c r="CW44" i="24"/>
  <c r="DK45" i="24" s="1"/>
  <c r="CV44" i="24"/>
  <c r="CS44" i="24"/>
  <c r="CW43" i="24"/>
  <c r="DK44" i="24" s="1"/>
  <c r="CV43" i="24"/>
  <c r="CS43" i="24"/>
  <c r="DR42" i="24"/>
  <c r="DJ42" i="24"/>
  <c r="DI42" i="24"/>
  <c r="DH42" i="24"/>
  <c r="DG42" i="24"/>
  <c r="DF42" i="24"/>
  <c r="DE42" i="24"/>
  <c r="DD42" i="24"/>
  <c r="CU42" i="24"/>
  <c r="CO42" i="24"/>
  <c r="CN42" i="24"/>
  <c r="D85" i="24" s="1"/>
  <c r="CM42" i="24"/>
  <c r="C86" i="24" s="1"/>
  <c r="CL42" i="24"/>
  <c r="D83" i="24" s="1"/>
  <c r="CK42" i="24"/>
  <c r="D82" i="24" s="1"/>
  <c r="CG42" i="24"/>
  <c r="CF42" i="24"/>
  <c r="D79" i="24" s="1"/>
  <c r="CE42" i="24"/>
  <c r="C80" i="24" s="1"/>
  <c r="CD42" i="24"/>
  <c r="D77" i="24" s="1"/>
  <c r="CC42" i="24"/>
  <c r="D76" i="24" s="1"/>
  <c r="BY42" i="24"/>
  <c r="DH43" i="24" s="1"/>
  <c r="BX42" i="24"/>
  <c r="D73" i="24" s="1"/>
  <c r="BW42" i="24"/>
  <c r="C74" i="24" s="1"/>
  <c r="BV42" i="24"/>
  <c r="D71" i="24" s="1"/>
  <c r="BU42" i="24"/>
  <c r="D70" i="24" s="1"/>
  <c r="BQ42" i="24"/>
  <c r="BP42" i="24"/>
  <c r="D67" i="24" s="1"/>
  <c r="BO42" i="24"/>
  <c r="C68" i="24" s="1"/>
  <c r="BN42" i="24"/>
  <c r="D65" i="24" s="1"/>
  <c r="BM42" i="24"/>
  <c r="D64" i="24" s="1"/>
  <c r="BI42" i="24"/>
  <c r="DF43" i="24" s="1"/>
  <c r="BH42" i="24"/>
  <c r="D61" i="24" s="1"/>
  <c r="BG42" i="24"/>
  <c r="C62" i="24" s="1"/>
  <c r="BF42" i="24"/>
  <c r="D59" i="24" s="1"/>
  <c r="BE42" i="24"/>
  <c r="D58" i="24" s="1"/>
  <c r="BA42" i="24"/>
  <c r="AZ42" i="24"/>
  <c r="D55" i="24" s="1"/>
  <c r="AY42" i="24"/>
  <c r="C56" i="24" s="1"/>
  <c r="AX42" i="24"/>
  <c r="D53" i="24" s="1"/>
  <c r="AW42" i="24"/>
  <c r="D52" i="24" s="1"/>
  <c r="AS42" i="24"/>
  <c r="DD43" i="24" s="1"/>
  <c r="AR42" i="24"/>
  <c r="D49" i="24" s="1"/>
  <c r="AQ42" i="24"/>
  <c r="C50" i="24" s="1"/>
  <c r="AP42" i="24"/>
  <c r="D47" i="24" s="1"/>
  <c r="AO42" i="24"/>
  <c r="D46" i="24" s="1"/>
  <c r="AK42" i="24"/>
  <c r="AJ42" i="24"/>
  <c r="D43" i="24" s="1"/>
  <c r="AI42" i="24"/>
  <c r="C44" i="24" s="1"/>
  <c r="AH42" i="24"/>
  <c r="D41" i="24" s="1"/>
  <c r="AG42" i="24"/>
  <c r="D40" i="24" s="1"/>
  <c r="AC42" i="24"/>
  <c r="AB42" i="24"/>
  <c r="D37" i="24" s="1"/>
  <c r="AA42" i="24"/>
  <c r="C38" i="24" s="1"/>
  <c r="Z42" i="24"/>
  <c r="D35" i="24" s="1"/>
  <c r="Y42" i="24"/>
  <c r="D34" i="24" s="1"/>
  <c r="U42" i="24"/>
  <c r="T42" i="24"/>
  <c r="D31" i="24" s="1"/>
  <c r="S42" i="24"/>
  <c r="C32" i="24" s="1"/>
  <c r="R42" i="24"/>
  <c r="D29" i="24" s="1"/>
  <c r="Q42" i="24"/>
  <c r="D28" i="24" s="1"/>
  <c r="DR41" i="24"/>
  <c r="DJ41" i="24"/>
  <c r="DI41" i="24"/>
  <c r="DH41" i="24"/>
  <c r="DG41" i="24"/>
  <c r="DF41" i="24"/>
  <c r="DE41" i="24"/>
  <c r="DD41" i="24"/>
  <c r="CW41" i="24"/>
  <c r="CW42" i="24" s="1"/>
  <c r="DK43" i="24" s="1"/>
  <c r="CV41" i="24"/>
  <c r="CS41" i="24"/>
  <c r="CT41" i="24" s="1"/>
  <c r="DJ40" i="24"/>
  <c r="DI40" i="24"/>
  <c r="DH40" i="24"/>
  <c r="DG40" i="24"/>
  <c r="DF40" i="24"/>
  <c r="DE40" i="24"/>
  <c r="DD40" i="24"/>
  <c r="CW40" i="24"/>
  <c r="DK41" i="24" s="1"/>
  <c r="CV40" i="24"/>
  <c r="CS40" i="24"/>
  <c r="A40" i="24"/>
  <c r="DJ39" i="24"/>
  <c r="DI39" i="24"/>
  <c r="DH39" i="24"/>
  <c r="DG39" i="24"/>
  <c r="DF39" i="24"/>
  <c r="DE39" i="24"/>
  <c r="DD39" i="24"/>
  <c r="CW39" i="24"/>
  <c r="DK40" i="24" s="1"/>
  <c r="CV39" i="24"/>
  <c r="CS39" i="24"/>
  <c r="DJ38" i="24"/>
  <c r="DI38" i="24"/>
  <c r="DH38" i="24"/>
  <c r="DG38" i="24"/>
  <c r="DF38" i="24"/>
  <c r="DE38" i="24"/>
  <c r="DD38" i="24"/>
  <c r="CW38" i="24"/>
  <c r="DK39" i="24" s="1"/>
  <c r="CV38" i="24"/>
  <c r="CS38" i="24"/>
  <c r="CT38" i="24" s="1"/>
  <c r="DJ37" i="24"/>
  <c r="DI37" i="24"/>
  <c r="DH37" i="24"/>
  <c r="DG37" i="24"/>
  <c r="DF37" i="24"/>
  <c r="DE37" i="24"/>
  <c r="DD37" i="24"/>
  <c r="CW37" i="24"/>
  <c r="DK38" i="24" s="1"/>
  <c r="CV37" i="24"/>
  <c r="CS37" i="24"/>
  <c r="CT37" i="24" s="1"/>
  <c r="DJ36" i="24"/>
  <c r="DI36" i="24"/>
  <c r="DH36" i="24"/>
  <c r="DG36" i="24"/>
  <c r="DF36" i="24"/>
  <c r="DE36" i="24"/>
  <c r="DD36" i="24"/>
  <c r="CW36" i="24"/>
  <c r="DK37" i="24" s="1"/>
  <c r="CV36" i="24"/>
  <c r="CS36" i="24"/>
  <c r="DJ35" i="24"/>
  <c r="DI35" i="24"/>
  <c r="DH35" i="24"/>
  <c r="DG35" i="24"/>
  <c r="DF35" i="24"/>
  <c r="DE35" i="24"/>
  <c r="DD35" i="24"/>
  <c r="CW35" i="24"/>
  <c r="DK36" i="24" s="1"/>
  <c r="CV35" i="24"/>
  <c r="CS35" i="24"/>
  <c r="CT35" i="24" s="1"/>
  <c r="DJ34" i="24"/>
  <c r="DI34" i="24"/>
  <c r="DH34" i="24"/>
  <c r="DG34" i="24"/>
  <c r="DF34" i="24"/>
  <c r="DE34" i="24"/>
  <c r="DD34" i="24"/>
  <c r="CW34" i="24"/>
  <c r="DK35" i="24" s="1"/>
  <c r="CV34" i="24"/>
  <c r="CS34" i="24"/>
  <c r="CT34" i="24" s="1"/>
  <c r="A34" i="24"/>
  <c r="DJ33" i="24"/>
  <c r="DI33" i="24"/>
  <c r="DH33" i="24"/>
  <c r="DG33" i="24"/>
  <c r="DF33" i="24"/>
  <c r="DE33" i="24"/>
  <c r="DD33" i="24"/>
  <c r="CW33" i="24"/>
  <c r="DK34" i="24" s="1"/>
  <c r="CV33" i="24"/>
  <c r="CS33" i="24"/>
  <c r="CT33" i="24" s="1"/>
  <c r="DR32" i="24"/>
  <c r="DJ32" i="24"/>
  <c r="DI32" i="24"/>
  <c r="DH32" i="24"/>
  <c r="DG32" i="24"/>
  <c r="DF32" i="24"/>
  <c r="DE32" i="24"/>
  <c r="DD32" i="24"/>
  <c r="CW32" i="24"/>
  <c r="DK33" i="24" s="1"/>
  <c r="CV32" i="24"/>
  <c r="CS32" i="24"/>
  <c r="DR31" i="24"/>
  <c r="DJ31" i="24"/>
  <c r="DI31" i="24"/>
  <c r="DH31" i="24"/>
  <c r="DG31" i="24"/>
  <c r="DF31" i="24"/>
  <c r="DE31" i="24"/>
  <c r="DD31" i="24"/>
  <c r="CW31" i="24"/>
  <c r="DK32" i="24" s="1"/>
  <c r="CV31" i="24"/>
  <c r="CS31" i="24"/>
  <c r="CT31" i="24" s="1"/>
  <c r="DN30" i="24"/>
  <c r="DN43" i="24" s="1"/>
  <c r="DN56" i="24" s="1"/>
  <c r="DN69" i="24" s="1"/>
  <c r="DN82" i="24" s="1"/>
  <c r="CZ30" i="24"/>
  <c r="CZ43" i="24" s="1"/>
  <c r="CZ56" i="24" s="1"/>
  <c r="CZ69" i="24" s="1"/>
  <c r="CZ82" i="24" s="1"/>
  <c r="CW30" i="24"/>
  <c r="DK31" i="24" s="1"/>
  <c r="CV30" i="24"/>
  <c r="CS30" i="24"/>
  <c r="CT30" i="24" s="1"/>
  <c r="DR29" i="24"/>
  <c r="DJ29" i="24"/>
  <c r="DI29" i="24"/>
  <c r="DH29" i="24"/>
  <c r="DG29" i="24"/>
  <c r="DF29" i="24"/>
  <c r="DE29" i="24"/>
  <c r="DD29" i="24"/>
  <c r="CR29" i="24"/>
  <c r="CR42" i="24" s="1"/>
  <c r="CR55" i="24" s="1"/>
  <c r="CR68" i="24" s="1"/>
  <c r="CR81" i="24" s="1"/>
  <c r="CR94" i="24" s="1"/>
  <c r="CR107" i="24" s="1"/>
  <c r="CR120" i="24" s="1"/>
  <c r="CR133" i="24" s="1"/>
  <c r="CR146" i="24" s="1"/>
  <c r="CO29" i="24"/>
  <c r="DJ30" i="24" s="1"/>
  <c r="CN29" i="24"/>
  <c r="C85" i="24" s="1"/>
  <c r="CM29" i="24"/>
  <c r="CL29" i="24"/>
  <c r="C83" i="24" s="1"/>
  <c r="CK29" i="24"/>
  <c r="C82" i="24" s="1"/>
  <c r="CJ29" i="24"/>
  <c r="CJ42" i="24" s="1"/>
  <c r="CJ55" i="24" s="1"/>
  <c r="CJ68" i="24" s="1"/>
  <c r="CJ81" i="24" s="1"/>
  <c r="CJ94" i="24" s="1"/>
  <c r="CJ107" i="24" s="1"/>
  <c r="CJ120" i="24" s="1"/>
  <c r="CJ133" i="24" s="1"/>
  <c r="CJ146" i="24" s="1"/>
  <c r="CG29" i="24"/>
  <c r="DI30" i="24" s="1"/>
  <c r="CF29" i="24"/>
  <c r="C79" i="24" s="1"/>
  <c r="CE29" i="24"/>
  <c r="CD29" i="24"/>
  <c r="C77" i="24" s="1"/>
  <c r="CC29" i="24"/>
  <c r="C76" i="24" s="1"/>
  <c r="CB29" i="24"/>
  <c r="CB42" i="24" s="1"/>
  <c r="CB55" i="24" s="1"/>
  <c r="CB68" i="24" s="1"/>
  <c r="CB81" i="24" s="1"/>
  <c r="CB94" i="24" s="1"/>
  <c r="CB107" i="24" s="1"/>
  <c r="CB120" i="24" s="1"/>
  <c r="CB133" i="24" s="1"/>
  <c r="CB146" i="24" s="1"/>
  <c r="BY29" i="24"/>
  <c r="DH30" i="24" s="1"/>
  <c r="BX29" i="24"/>
  <c r="C73" i="24" s="1"/>
  <c r="BW29" i="24"/>
  <c r="BV29" i="24"/>
  <c r="C71" i="24" s="1"/>
  <c r="BU29" i="24"/>
  <c r="C70" i="24" s="1"/>
  <c r="BT29" i="24"/>
  <c r="BT42" i="24" s="1"/>
  <c r="BT55" i="24" s="1"/>
  <c r="BT68" i="24" s="1"/>
  <c r="BT81" i="24" s="1"/>
  <c r="BT94" i="24" s="1"/>
  <c r="BT107" i="24" s="1"/>
  <c r="BT120" i="24" s="1"/>
  <c r="BT133" i="24" s="1"/>
  <c r="BT146" i="24" s="1"/>
  <c r="BQ29" i="24"/>
  <c r="BP29" i="24"/>
  <c r="C67" i="24" s="1"/>
  <c r="BO29" i="24"/>
  <c r="BN29" i="24"/>
  <c r="C65" i="24" s="1"/>
  <c r="BM29" i="24"/>
  <c r="C64" i="24" s="1"/>
  <c r="BL29" i="24"/>
  <c r="BL42" i="24" s="1"/>
  <c r="BL55" i="24" s="1"/>
  <c r="BL68" i="24" s="1"/>
  <c r="BL81" i="24" s="1"/>
  <c r="BL94" i="24" s="1"/>
  <c r="BL107" i="24" s="1"/>
  <c r="BL120" i="24" s="1"/>
  <c r="BL133" i="24" s="1"/>
  <c r="BL146" i="24" s="1"/>
  <c r="BI29" i="24"/>
  <c r="DF30" i="24" s="1"/>
  <c r="BH29" i="24"/>
  <c r="C61" i="24" s="1"/>
  <c r="BG29" i="24"/>
  <c r="BF29" i="24"/>
  <c r="C59" i="24" s="1"/>
  <c r="BE29" i="24"/>
  <c r="C58" i="24" s="1"/>
  <c r="BD29" i="24"/>
  <c r="BD42" i="24" s="1"/>
  <c r="BD55" i="24" s="1"/>
  <c r="BD68" i="24" s="1"/>
  <c r="BD81" i="24" s="1"/>
  <c r="BD94" i="24" s="1"/>
  <c r="BD107" i="24" s="1"/>
  <c r="BD120" i="24" s="1"/>
  <c r="BD133" i="24" s="1"/>
  <c r="BD146" i="24" s="1"/>
  <c r="BA29" i="24"/>
  <c r="DE30" i="24" s="1"/>
  <c r="AZ29" i="24"/>
  <c r="C55" i="24" s="1"/>
  <c r="AY29" i="24"/>
  <c r="AX29" i="24"/>
  <c r="C53" i="24" s="1"/>
  <c r="AW29" i="24"/>
  <c r="C52" i="24" s="1"/>
  <c r="AV29" i="24"/>
  <c r="AV42" i="24" s="1"/>
  <c r="AV55" i="24" s="1"/>
  <c r="AV68" i="24" s="1"/>
  <c r="AV81" i="24" s="1"/>
  <c r="AV94" i="24" s="1"/>
  <c r="AV107" i="24" s="1"/>
  <c r="AV120" i="24" s="1"/>
  <c r="AV133" i="24" s="1"/>
  <c r="AV146" i="24" s="1"/>
  <c r="AS29" i="24"/>
  <c r="AR29" i="24"/>
  <c r="C49" i="24" s="1"/>
  <c r="AQ29" i="24"/>
  <c r="AP29" i="24"/>
  <c r="C47" i="24" s="1"/>
  <c r="AO29" i="24"/>
  <c r="C46" i="24" s="1"/>
  <c r="AN29" i="24"/>
  <c r="AN42" i="24" s="1"/>
  <c r="AN55" i="24" s="1"/>
  <c r="AN68" i="24" s="1"/>
  <c r="AN81" i="24" s="1"/>
  <c r="AN94" i="24" s="1"/>
  <c r="AN107" i="24" s="1"/>
  <c r="AN120" i="24" s="1"/>
  <c r="AN133" i="24" s="1"/>
  <c r="AN146" i="24" s="1"/>
  <c r="AK29" i="24"/>
  <c r="AJ29" i="24"/>
  <c r="C43" i="24" s="1"/>
  <c r="AI29" i="24"/>
  <c r="AH29" i="24"/>
  <c r="C41" i="24" s="1"/>
  <c r="AG29" i="24"/>
  <c r="C40" i="24" s="1"/>
  <c r="AF29" i="24"/>
  <c r="AF42" i="24" s="1"/>
  <c r="AF55" i="24" s="1"/>
  <c r="AF68" i="24" s="1"/>
  <c r="AF81" i="24" s="1"/>
  <c r="AF94" i="24" s="1"/>
  <c r="AF107" i="24" s="1"/>
  <c r="AF120" i="24" s="1"/>
  <c r="AF133" i="24" s="1"/>
  <c r="AF146" i="24" s="1"/>
  <c r="AC29" i="24"/>
  <c r="AB29" i="24"/>
  <c r="C37" i="24" s="1"/>
  <c r="AA29" i="24"/>
  <c r="Z29" i="24"/>
  <c r="C35" i="24" s="1"/>
  <c r="Y29" i="24"/>
  <c r="C34" i="24" s="1"/>
  <c r="X29" i="24"/>
  <c r="X42" i="24" s="1"/>
  <c r="X55" i="24" s="1"/>
  <c r="X68" i="24" s="1"/>
  <c r="X81" i="24" s="1"/>
  <c r="X94" i="24" s="1"/>
  <c r="X107" i="24" s="1"/>
  <c r="X120" i="24" s="1"/>
  <c r="X133" i="24" s="1"/>
  <c r="X146" i="24" s="1"/>
  <c r="U29" i="24"/>
  <c r="T29" i="24"/>
  <c r="C31" i="24" s="1"/>
  <c r="S29" i="24"/>
  <c r="R29" i="24"/>
  <c r="C29" i="24" s="1"/>
  <c r="Q29" i="24"/>
  <c r="C28" i="24" s="1"/>
  <c r="P29" i="24"/>
  <c r="P42" i="24" s="1"/>
  <c r="P55" i="24" s="1"/>
  <c r="P68" i="24" s="1"/>
  <c r="P81" i="24" s="1"/>
  <c r="P94" i="24" s="1"/>
  <c r="P107" i="24" s="1"/>
  <c r="P120" i="24" s="1"/>
  <c r="P133" i="24" s="1"/>
  <c r="P146" i="24" s="1"/>
  <c r="DJ28" i="24"/>
  <c r="DI28" i="24"/>
  <c r="DH28" i="24"/>
  <c r="DG28" i="24"/>
  <c r="DF28" i="24"/>
  <c r="DE28" i="24"/>
  <c r="DD28" i="24"/>
  <c r="CW28" i="24"/>
  <c r="CW29" i="24" s="1"/>
  <c r="DK30" i="24" s="1"/>
  <c r="CV28" i="24"/>
  <c r="CS28" i="24"/>
  <c r="A28" i="24"/>
  <c r="DJ27" i="24"/>
  <c r="DI27" i="24"/>
  <c r="DH27" i="24"/>
  <c r="DG27" i="24"/>
  <c r="DF27" i="24"/>
  <c r="DE27" i="24"/>
  <c r="DD27" i="24"/>
  <c r="CW27" i="24"/>
  <c r="DK28" i="24" s="1"/>
  <c r="CV27" i="24"/>
  <c r="CS27" i="24"/>
  <c r="D27" i="24"/>
  <c r="E27" i="24" s="1"/>
  <c r="F27" i="24" s="1"/>
  <c r="G27" i="24" s="1"/>
  <c r="H27" i="24" s="1"/>
  <c r="I27" i="24" s="1"/>
  <c r="J27" i="24" s="1"/>
  <c r="K27" i="24" s="1"/>
  <c r="L27" i="24" s="1"/>
  <c r="EC26" i="24"/>
  <c r="DY26" i="24"/>
  <c r="DX26" i="24"/>
  <c r="DW26" i="24"/>
  <c r="DJ26" i="24"/>
  <c r="DI26" i="24"/>
  <c r="DH26" i="24"/>
  <c r="DG26" i="24"/>
  <c r="DF26" i="24"/>
  <c r="DE26" i="24"/>
  <c r="DD26" i="24"/>
  <c r="CW26" i="24"/>
  <c r="DK27" i="24" s="1"/>
  <c r="CV26" i="24"/>
  <c r="CS26" i="24"/>
  <c r="D26" i="24"/>
  <c r="E26" i="24" s="1"/>
  <c r="F26" i="24" s="1"/>
  <c r="G26" i="24" s="1"/>
  <c r="H26" i="24" s="1"/>
  <c r="I26" i="24" s="1"/>
  <c r="J26" i="24" s="1"/>
  <c r="K26" i="24" s="1"/>
  <c r="L26" i="24" s="1"/>
  <c r="EC25" i="24"/>
  <c r="DY25" i="24"/>
  <c r="DX25" i="24"/>
  <c r="DW25" i="24"/>
  <c r="DJ25" i="24"/>
  <c r="DI25" i="24"/>
  <c r="DH25" i="24"/>
  <c r="DG25" i="24"/>
  <c r="DF25" i="24"/>
  <c r="DE25" i="24"/>
  <c r="DD25" i="24"/>
  <c r="CW25" i="24"/>
  <c r="DK26" i="24" s="1"/>
  <c r="CV25" i="24"/>
  <c r="CS25" i="24"/>
  <c r="DJ24" i="24"/>
  <c r="DI24" i="24"/>
  <c r="DH24" i="24"/>
  <c r="DG24" i="24"/>
  <c r="DF24" i="24"/>
  <c r="DE24" i="24"/>
  <c r="DD24" i="24"/>
  <c r="CW24" i="24"/>
  <c r="DK25" i="24" s="1"/>
  <c r="CV24" i="24"/>
  <c r="CS24" i="24"/>
  <c r="CT24" i="24" s="1"/>
  <c r="EC23" i="24"/>
  <c r="DW23" i="24"/>
  <c r="DX23" i="24" s="1"/>
  <c r="DP23" i="24"/>
  <c r="DR23" i="24" s="1"/>
  <c r="DJ23" i="24"/>
  <c r="DI23" i="24"/>
  <c r="DH23" i="24"/>
  <c r="DG23" i="24"/>
  <c r="DF23" i="24"/>
  <c r="DE23" i="24"/>
  <c r="DD23" i="24"/>
  <c r="CW23" i="24"/>
  <c r="DK24" i="24" s="1"/>
  <c r="CV23" i="24"/>
  <c r="CS23" i="24"/>
  <c r="CT23" i="24" s="1"/>
  <c r="C23" i="24"/>
  <c r="DW22" i="24"/>
  <c r="DX22" i="24" s="1"/>
  <c r="DY22" i="24" s="1"/>
  <c r="EC22" i="24" s="1"/>
  <c r="DR22" i="24"/>
  <c r="DJ22" i="24"/>
  <c r="DI22" i="24"/>
  <c r="DH22" i="24"/>
  <c r="DG22" i="24"/>
  <c r="DF22" i="24"/>
  <c r="DE22" i="24"/>
  <c r="DD22" i="24"/>
  <c r="CW22" i="24"/>
  <c r="DK23" i="24" s="1"/>
  <c r="CV22" i="24"/>
  <c r="CS22" i="24"/>
  <c r="CT22" i="24" s="1"/>
  <c r="D22" i="24"/>
  <c r="DR21" i="24"/>
  <c r="DJ21" i="24"/>
  <c r="DI21" i="24"/>
  <c r="DH21" i="24"/>
  <c r="DG21" i="24"/>
  <c r="DF21" i="24"/>
  <c r="DE21" i="24"/>
  <c r="DD21" i="24"/>
  <c r="CW21" i="24"/>
  <c r="DK22" i="24" s="1"/>
  <c r="CV21" i="24"/>
  <c r="CS21" i="24"/>
  <c r="D21" i="24"/>
  <c r="DR20" i="24"/>
  <c r="DS20" i="24" s="1"/>
  <c r="DW21" i="24" s="1"/>
  <c r="DJ20" i="24"/>
  <c r="DI20" i="24"/>
  <c r="DH20" i="24"/>
  <c r="DG20" i="24"/>
  <c r="DF20" i="24"/>
  <c r="DE20" i="24"/>
  <c r="DD20" i="24"/>
  <c r="CW20" i="24"/>
  <c r="DK21" i="24" s="1"/>
  <c r="CV20" i="24"/>
  <c r="CS20" i="24"/>
  <c r="CT20" i="24" s="1"/>
  <c r="D20" i="24"/>
  <c r="DR19" i="24"/>
  <c r="DJ19" i="24"/>
  <c r="DI19" i="24"/>
  <c r="DH19" i="24"/>
  <c r="DG19" i="24"/>
  <c r="DF19" i="24"/>
  <c r="DE19" i="24"/>
  <c r="DD19" i="24"/>
  <c r="CW19" i="24"/>
  <c r="DK20" i="24" s="1"/>
  <c r="CU19" i="24"/>
  <c r="CT19" i="24"/>
  <c r="DJ18" i="24"/>
  <c r="DI18" i="24"/>
  <c r="DH18" i="24"/>
  <c r="DG18" i="24"/>
  <c r="DF18" i="24"/>
  <c r="DE18" i="24"/>
  <c r="DD18" i="24"/>
  <c r="CU18" i="24"/>
  <c r="CT18" i="24"/>
  <c r="CU17" i="24"/>
  <c r="CT17" i="24"/>
  <c r="DJ16" i="24"/>
  <c r="DI16" i="24"/>
  <c r="DH16" i="24"/>
  <c r="DG16" i="24"/>
  <c r="DF16" i="24"/>
  <c r="DE16" i="24"/>
  <c r="DD16" i="24"/>
  <c r="CW16" i="24"/>
  <c r="CV16" i="24"/>
  <c r="CU16" i="24"/>
  <c r="CT16" i="24"/>
  <c r="CS16" i="24"/>
  <c r="CO16" i="24"/>
  <c r="CN16" i="24"/>
  <c r="CM16" i="24"/>
  <c r="CL16" i="24"/>
  <c r="CK16" i="24"/>
  <c r="CG16" i="24"/>
  <c r="DI17" i="24" s="1"/>
  <c r="CF16" i="24"/>
  <c r="CE16" i="24"/>
  <c r="CD16" i="24"/>
  <c r="CC16" i="24"/>
  <c r="BY16" i="24"/>
  <c r="DH17" i="24" s="1"/>
  <c r="BX16" i="24"/>
  <c r="BW16" i="24"/>
  <c r="BV16" i="24"/>
  <c r="BU16" i="24"/>
  <c r="BQ16" i="24"/>
  <c r="DG17" i="24" s="1"/>
  <c r="BP16" i="24"/>
  <c r="BO16" i="24"/>
  <c r="BN16" i="24"/>
  <c r="BM16" i="24"/>
  <c r="BI16" i="24"/>
  <c r="DF17" i="24" s="1"/>
  <c r="BH16" i="24"/>
  <c r="BG16" i="24"/>
  <c r="BF16" i="24"/>
  <c r="BE16" i="24"/>
  <c r="BA16" i="24"/>
  <c r="DE17" i="24" s="1"/>
  <c r="AZ16" i="24"/>
  <c r="AY16" i="24"/>
  <c r="AX16" i="24"/>
  <c r="AW16" i="24"/>
  <c r="AS16" i="24"/>
  <c r="DD17" i="24" s="1"/>
  <c r="AR16" i="24"/>
  <c r="AQ16" i="24"/>
  <c r="AP16" i="24"/>
  <c r="AO16" i="24"/>
  <c r="AK16" i="24"/>
  <c r="AJ16" i="24"/>
  <c r="AI16" i="24"/>
  <c r="AH16" i="24"/>
  <c r="AG16" i="24"/>
  <c r="AC16" i="24"/>
  <c r="AB16" i="24"/>
  <c r="AA16" i="24"/>
  <c r="Z16" i="24"/>
  <c r="Y16" i="24"/>
  <c r="U16" i="24"/>
  <c r="T16" i="24"/>
  <c r="S16" i="24"/>
  <c r="R16" i="24"/>
  <c r="Q16" i="24"/>
  <c r="DJ15" i="24"/>
  <c r="DI15" i="24"/>
  <c r="DH15" i="24"/>
  <c r="DG15" i="24"/>
  <c r="DF15" i="24"/>
  <c r="DE15" i="24"/>
  <c r="DD15" i="24"/>
  <c r="G15" i="24"/>
  <c r="F15" i="24"/>
  <c r="DJ14" i="24"/>
  <c r="DI14" i="24"/>
  <c r="DH14" i="24"/>
  <c r="DG14" i="24"/>
  <c r="DF14" i="24"/>
  <c r="DE14" i="24"/>
  <c r="DD14" i="24"/>
  <c r="DC14" i="24"/>
  <c r="DC15" i="24" s="1"/>
  <c r="DC16" i="24" s="1"/>
  <c r="DC17" i="24" s="1"/>
  <c r="DC18" i="24" s="1"/>
  <c r="DC19" i="24" s="1"/>
  <c r="DC20" i="24" s="1"/>
  <c r="DC21" i="24" s="1"/>
  <c r="DC22" i="24" s="1"/>
  <c r="DC23" i="24" s="1"/>
  <c r="DC24" i="24" s="1"/>
  <c r="DC25" i="24" s="1"/>
  <c r="DC26" i="24" s="1"/>
  <c r="DC27" i="24" s="1"/>
  <c r="DC28" i="24" s="1"/>
  <c r="DB14" i="24"/>
  <c r="DB15" i="24" s="1"/>
  <c r="DB16" i="24" s="1"/>
  <c r="DB17" i="24" s="1"/>
  <c r="DB18" i="24" s="1"/>
  <c r="DB19" i="24" s="1"/>
  <c r="DB20" i="24" s="1"/>
  <c r="DB21" i="24" s="1"/>
  <c r="DB22" i="24" s="1"/>
  <c r="DB23" i="24" s="1"/>
  <c r="DB24" i="24" s="1"/>
  <c r="DB25" i="24" s="1"/>
  <c r="DB26" i="24" s="1"/>
  <c r="DB27" i="24" s="1"/>
  <c r="DB28" i="24" s="1"/>
  <c r="H14" i="24"/>
  <c r="G14" i="24"/>
  <c r="DJ13" i="24"/>
  <c r="DI13" i="24"/>
  <c r="DH13" i="24"/>
  <c r="DG13" i="24"/>
  <c r="DF13" i="24"/>
  <c r="DE13" i="24"/>
  <c r="DD13" i="24"/>
  <c r="DC13" i="24"/>
  <c r="DB13" i="24"/>
  <c r="DJ12" i="24"/>
  <c r="DI12" i="24"/>
  <c r="DH12" i="24"/>
  <c r="DG12" i="24"/>
  <c r="DF12" i="24"/>
  <c r="DE12" i="24"/>
  <c r="DD12" i="24"/>
  <c r="DC12" i="24"/>
  <c r="DB12" i="24"/>
  <c r="DJ11" i="24"/>
  <c r="DI11" i="24"/>
  <c r="DH11" i="24"/>
  <c r="DG11" i="24"/>
  <c r="DF11" i="24"/>
  <c r="DE11" i="24"/>
  <c r="DD11" i="24"/>
  <c r="DC11" i="24"/>
  <c r="DB11" i="24"/>
  <c r="DJ10" i="24"/>
  <c r="DI10" i="24"/>
  <c r="DH10" i="24"/>
  <c r="DG10" i="24"/>
  <c r="DF10" i="24"/>
  <c r="DE10" i="24"/>
  <c r="DD10" i="24"/>
  <c r="DC10" i="24"/>
  <c r="DB10" i="24"/>
  <c r="DJ9" i="24"/>
  <c r="DI9" i="24"/>
  <c r="DH9" i="24"/>
  <c r="DG9" i="24"/>
  <c r="DF9" i="24"/>
  <c r="DE9" i="24"/>
  <c r="DD9" i="24"/>
  <c r="DC9" i="24"/>
  <c r="DB9" i="24"/>
  <c r="DJ8" i="24"/>
  <c r="DI8" i="24"/>
  <c r="DH8" i="24"/>
  <c r="DG8" i="24"/>
  <c r="DF8" i="24"/>
  <c r="DE8" i="24"/>
  <c r="DD8" i="24"/>
  <c r="DC8" i="24"/>
  <c r="DB8" i="24"/>
  <c r="DJ7" i="24"/>
  <c r="DI7" i="24"/>
  <c r="DH7" i="24"/>
  <c r="DG7" i="24"/>
  <c r="DF7" i="24"/>
  <c r="DE7" i="24"/>
  <c r="DD7" i="24"/>
  <c r="DC7" i="24"/>
  <c r="DB7" i="24"/>
  <c r="DJ5" i="24"/>
  <c r="DJ6" i="24" s="1"/>
  <c r="DI5" i="24"/>
  <c r="DI6" i="24" s="1"/>
  <c r="DH5" i="24"/>
  <c r="DH6" i="24" s="1"/>
  <c r="DG5" i="24"/>
  <c r="DG6" i="24" s="1"/>
  <c r="DF5" i="24"/>
  <c r="DF6" i="24" s="1"/>
  <c r="DE5" i="24"/>
  <c r="DE6" i="24" s="1"/>
  <c r="DD5" i="24"/>
  <c r="DD6" i="24" s="1"/>
  <c r="DC5" i="24"/>
  <c r="DC6" i="24" s="1"/>
  <c r="DB5" i="24"/>
  <c r="DB6" i="24" s="1"/>
  <c r="DA5" i="24"/>
  <c r="DA6" i="24" s="1"/>
  <c r="DA7" i="24" s="1"/>
  <c r="DA8" i="24" s="1"/>
  <c r="DA9" i="24" s="1"/>
  <c r="DA10" i="24" s="1"/>
  <c r="DA11" i="24" s="1"/>
  <c r="DA12" i="24" s="1"/>
  <c r="DA13" i="24" s="1"/>
  <c r="DA14" i="24" s="1"/>
  <c r="DA15" i="24" s="1"/>
  <c r="DA16" i="24" s="1"/>
  <c r="DA17" i="24" s="1"/>
  <c r="DA18" i="24" s="1"/>
  <c r="CQ4" i="24"/>
  <c r="CQ5" i="24" s="1"/>
  <c r="CQ6" i="24" s="1"/>
  <c r="CQ7" i="24" s="1"/>
  <c r="CQ8" i="24" s="1"/>
  <c r="CQ9" i="24" s="1"/>
  <c r="CQ10" i="24" s="1"/>
  <c r="CQ11" i="24" s="1"/>
  <c r="CQ12" i="24" s="1"/>
  <c r="CQ13" i="24" s="1"/>
  <c r="CQ14" i="24" s="1"/>
  <c r="CQ15" i="24" s="1"/>
  <c r="CQ17" i="24" s="1"/>
  <c r="CQ18" i="24" s="1"/>
  <c r="CQ19" i="24" s="1"/>
  <c r="CI4" i="24"/>
  <c r="E13" i="24" s="1"/>
  <c r="I13" i="24" s="1"/>
  <c r="CA4" i="24"/>
  <c r="BS4" i="24"/>
  <c r="BS5" i="24" s="1"/>
  <c r="BS6" i="24" s="1"/>
  <c r="BS7" i="24" s="1"/>
  <c r="BS8" i="24" s="1"/>
  <c r="BS9" i="24" s="1"/>
  <c r="BS10" i="24" s="1"/>
  <c r="BS11" i="24" s="1"/>
  <c r="BS12" i="24" s="1"/>
  <c r="BS13" i="24" s="1"/>
  <c r="BS14" i="24" s="1"/>
  <c r="BS15" i="24" s="1"/>
  <c r="BS17" i="24" s="1"/>
  <c r="BS18" i="24" s="1"/>
  <c r="BS19" i="24" s="1"/>
  <c r="BS20" i="24" s="1"/>
  <c r="BS21" i="24" s="1"/>
  <c r="BS22" i="24" s="1"/>
  <c r="BS23" i="24" s="1"/>
  <c r="BS24" i="24" s="1"/>
  <c r="BS25" i="24" s="1"/>
  <c r="BS26" i="24" s="1"/>
  <c r="BS27" i="24" s="1"/>
  <c r="BS28" i="24" s="1"/>
  <c r="BS30" i="24" s="1"/>
  <c r="BS31" i="24" s="1"/>
  <c r="BS32" i="24" s="1"/>
  <c r="BS33" i="24" s="1"/>
  <c r="BS34" i="24" s="1"/>
  <c r="BS35" i="24" s="1"/>
  <c r="BS36" i="24" s="1"/>
  <c r="BS37" i="24" s="1"/>
  <c r="BS38" i="24" s="1"/>
  <c r="BS39" i="24" s="1"/>
  <c r="BS40" i="24" s="1"/>
  <c r="BS41" i="24" s="1"/>
  <c r="BS43" i="24" s="1"/>
  <c r="BS44" i="24" s="1"/>
  <c r="BS45" i="24" s="1"/>
  <c r="BS46" i="24" s="1"/>
  <c r="BS47" i="24" s="1"/>
  <c r="BS48" i="24" s="1"/>
  <c r="BS49" i="24" s="1"/>
  <c r="BS50" i="24" s="1"/>
  <c r="BS51" i="24" s="1"/>
  <c r="BS52" i="24" s="1"/>
  <c r="BS53" i="24" s="1"/>
  <c r="BS54" i="24" s="1"/>
  <c r="BS56" i="24" s="1"/>
  <c r="BS57" i="24" s="1"/>
  <c r="BS58" i="24" s="1"/>
  <c r="BS59" i="24" s="1"/>
  <c r="BS60" i="24" s="1"/>
  <c r="BS61" i="24" s="1"/>
  <c r="BS62" i="24" s="1"/>
  <c r="BS63" i="24" s="1"/>
  <c r="BS64" i="24" s="1"/>
  <c r="BS65" i="24" s="1"/>
  <c r="BS66" i="24" s="1"/>
  <c r="BS67" i="24" s="1"/>
  <c r="BS69" i="24" s="1"/>
  <c r="BS70" i="24" s="1"/>
  <c r="BS71" i="24" s="1"/>
  <c r="BS72" i="24" s="1"/>
  <c r="BS73" i="24" s="1"/>
  <c r="BS74" i="24" s="1"/>
  <c r="BS75" i="24" s="1"/>
  <c r="BS76" i="24" s="1"/>
  <c r="BS77" i="24" s="1"/>
  <c r="BS78" i="24" s="1"/>
  <c r="BS79" i="24" s="1"/>
  <c r="BS80" i="24" s="1"/>
  <c r="BS82" i="24" s="1"/>
  <c r="BS83" i="24" s="1"/>
  <c r="BS84" i="24" s="1"/>
  <c r="BS85" i="24" s="1"/>
  <c r="BS86" i="24" s="1"/>
  <c r="BS87" i="24" s="1"/>
  <c r="BS88" i="24" s="1"/>
  <c r="BS89" i="24" s="1"/>
  <c r="BS90" i="24" s="1"/>
  <c r="BS91" i="24" s="1"/>
  <c r="BS92" i="24" s="1"/>
  <c r="BS93" i="24" s="1"/>
  <c r="BS95" i="24" s="1"/>
  <c r="BS96" i="24" s="1"/>
  <c r="BS97" i="24" s="1"/>
  <c r="BS98" i="24" s="1"/>
  <c r="BS99" i="24" s="1"/>
  <c r="BS100" i="24" s="1"/>
  <c r="BS101" i="24" s="1"/>
  <c r="BS102" i="24" s="1"/>
  <c r="BS103" i="24" s="1"/>
  <c r="BS104" i="24" s="1"/>
  <c r="BS105" i="24" s="1"/>
  <c r="BS106" i="24" s="1"/>
  <c r="BS108" i="24" s="1"/>
  <c r="BS109" i="24" s="1"/>
  <c r="BS110" i="24" s="1"/>
  <c r="BS111" i="24" s="1"/>
  <c r="BS112" i="24" s="1"/>
  <c r="BS113" i="24" s="1"/>
  <c r="BS114" i="24" s="1"/>
  <c r="BS115" i="24" s="1"/>
  <c r="BS116" i="24" s="1"/>
  <c r="BS117" i="24" s="1"/>
  <c r="BS118" i="24" s="1"/>
  <c r="BS119" i="24" s="1"/>
  <c r="BS121" i="24" s="1"/>
  <c r="BS122" i="24" s="1"/>
  <c r="BS123" i="24" s="1"/>
  <c r="BS124" i="24" s="1"/>
  <c r="BS125" i="24" s="1"/>
  <c r="BS126" i="24" s="1"/>
  <c r="BS127" i="24" s="1"/>
  <c r="BS128" i="24" s="1"/>
  <c r="BS129" i="24" s="1"/>
  <c r="BS130" i="24" s="1"/>
  <c r="BS131" i="24" s="1"/>
  <c r="BS132" i="24" s="1"/>
  <c r="BS134" i="24" s="1"/>
  <c r="BS135" i="24" s="1"/>
  <c r="BS136" i="24" s="1"/>
  <c r="BS137" i="24" s="1"/>
  <c r="BS138" i="24" s="1"/>
  <c r="BS139" i="24" s="1"/>
  <c r="BS140" i="24" s="1"/>
  <c r="BS141" i="24" s="1"/>
  <c r="BS142" i="24" s="1"/>
  <c r="BS143" i="24" s="1"/>
  <c r="BS144" i="24" s="1"/>
  <c r="BS145" i="24" s="1"/>
  <c r="BK4" i="24"/>
  <c r="E10" i="24" s="1"/>
  <c r="I10" i="24" s="1"/>
  <c r="BC4" i="24"/>
  <c r="E9" i="24" s="1"/>
  <c r="I9" i="24" s="1"/>
  <c r="AU4" i="24"/>
  <c r="AM4" i="24"/>
  <c r="AM5" i="24" s="1"/>
  <c r="AM6" i="24" s="1"/>
  <c r="AM7" i="24" s="1"/>
  <c r="AM8" i="24" s="1"/>
  <c r="AM9" i="24" s="1"/>
  <c r="AM10" i="24" s="1"/>
  <c r="AM11" i="24" s="1"/>
  <c r="AM12" i="24" s="1"/>
  <c r="AM13" i="24" s="1"/>
  <c r="AM14" i="24" s="1"/>
  <c r="AM15" i="24" s="1"/>
  <c r="AM17" i="24" s="1"/>
  <c r="AM18" i="24" s="1"/>
  <c r="AM19" i="24" s="1"/>
  <c r="AM20" i="24" s="1"/>
  <c r="AM21" i="24" s="1"/>
  <c r="AM22" i="24" s="1"/>
  <c r="AM23" i="24" s="1"/>
  <c r="AM24" i="24" s="1"/>
  <c r="AM25" i="24" s="1"/>
  <c r="AM26" i="24" s="1"/>
  <c r="AM27" i="24" s="1"/>
  <c r="AM28" i="24" s="1"/>
  <c r="AM30" i="24" s="1"/>
  <c r="AM31" i="24" s="1"/>
  <c r="AM32" i="24" s="1"/>
  <c r="AM33" i="24" s="1"/>
  <c r="AM34" i="24" s="1"/>
  <c r="AM35" i="24" s="1"/>
  <c r="AM36" i="24" s="1"/>
  <c r="AM37" i="24" s="1"/>
  <c r="AM38" i="24" s="1"/>
  <c r="AM39" i="24" s="1"/>
  <c r="AM40" i="24" s="1"/>
  <c r="AM41" i="24" s="1"/>
  <c r="AM43" i="24" s="1"/>
  <c r="AM44" i="24" s="1"/>
  <c r="AM45" i="24" s="1"/>
  <c r="AM46" i="24" s="1"/>
  <c r="AM47" i="24" s="1"/>
  <c r="AM48" i="24" s="1"/>
  <c r="AM49" i="24" s="1"/>
  <c r="AM50" i="24" s="1"/>
  <c r="AM51" i="24" s="1"/>
  <c r="AM52" i="24" s="1"/>
  <c r="AM53" i="24" s="1"/>
  <c r="AM54" i="24" s="1"/>
  <c r="AM56" i="24" s="1"/>
  <c r="AM57" i="24" s="1"/>
  <c r="AM58" i="24" s="1"/>
  <c r="AM59" i="24" s="1"/>
  <c r="AM60" i="24" s="1"/>
  <c r="AM61" i="24" s="1"/>
  <c r="AM62" i="24" s="1"/>
  <c r="AM63" i="24" s="1"/>
  <c r="AM64" i="24" s="1"/>
  <c r="AM65" i="24" s="1"/>
  <c r="AM66" i="24" s="1"/>
  <c r="AM67" i="24" s="1"/>
  <c r="AM69" i="24" s="1"/>
  <c r="AM70" i="24" s="1"/>
  <c r="AM71" i="24" s="1"/>
  <c r="AM72" i="24" s="1"/>
  <c r="AM73" i="24" s="1"/>
  <c r="AM74" i="24" s="1"/>
  <c r="AM75" i="24" s="1"/>
  <c r="AM76" i="24" s="1"/>
  <c r="AM77" i="24" s="1"/>
  <c r="AM78" i="24" s="1"/>
  <c r="AM79" i="24" s="1"/>
  <c r="AM80" i="24" s="1"/>
  <c r="AM82" i="24" s="1"/>
  <c r="AM83" i="24" s="1"/>
  <c r="AM84" i="24" s="1"/>
  <c r="AM85" i="24" s="1"/>
  <c r="AM86" i="24" s="1"/>
  <c r="AM87" i="24" s="1"/>
  <c r="AM88" i="24" s="1"/>
  <c r="AM89" i="24" s="1"/>
  <c r="AM90" i="24" s="1"/>
  <c r="AM91" i="24" s="1"/>
  <c r="AM92" i="24" s="1"/>
  <c r="AM93" i="24" s="1"/>
  <c r="AM95" i="24" s="1"/>
  <c r="AM96" i="24" s="1"/>
  <c r="AM97" i="24" s="1"/>
  <c r="AM98" i="24" s="1"/>
  <c r="AM99" i="24" s="1"/>
  <c r="AM100" i="24" s="1"/>
  <c r="AM101" i="24" s="1"/>
  <c r="AM102" i="24" s="1"/>
  <c r="AM103" i="24" s="1"/>
  <c r="AM104" i="24" s="1"/>
  <c r="AM105" i="24" s="1"/>
  <c r="AM106" i="24" s="1"/>
  <c r="AM108" i="24" s="1"/>
  <c r="AM109" i="24" s="1"/>
  <c r="AM110" i="24" s="1"/>
  <c r="AM111" i="24" s="1"/>
  <c r="AM112" i="24" s="1"/>
  <c r="AM113" i="24" s="1"/>
  <c r="AM114" i="24" s="1"/>
  <c r="AM115" i="24" s="1"/>
  <c r="AM116" i="24" s="1"/>
  <c r="AM117" i="24" s="1"/>
  <c r="AM118" i="24" s="1"/>
  <c r="AM119" i="24" s="1"/>
  <c r="AM121" i="24" s="1"/>
  <c r="AM122" i="24" s="1"/>
  <c r="AM123" i="24" s="1"/>
  <c r="AM124" i="24" s="1"/>
  <c r="AM125" i="24" s="1"/>
  <c r="AM126" i="24" s="1"/>
  <c r="AM127" i="24" s="1"/>
  <c r="AM128" i="24" s="1"/>
  <c r="AM129" i="24" s="1"/>
  <c r="AM130" i="24" s="1"/>
  <c r="AM131" i="24" s="1"/>
  <c r="AM132" i="24" s="1"/>
  <c r="AM134" i="24" s="1"/>
  <c r="AM135" i="24" s="1"/>
  <c r="AM136" i="24" s="1"/>
  <c r="AM137" i="24" s="1"/>
  <c r="AM138" i="24" s="1"/>
  <c r="AM139" i="24" s="1"/>
  <c r="AM140" i="24" s="1"/>
  <c r="AM141" i="24" s="1"/>
  <c r="AM142" i="24" s="1"/>
  <c r="AM143" i="24" s="1"/>
  <c r="AM144" i="24" s="1"/>
  <c r="AM145" i="24" s="1"/>
  <c r="AE4" i="24"/>
  <c r="AE5" i="24" s="1"/>
  <c r="W4" i="24"/>
  <c r="W5" i="24" s="1"/>
  <c r="W6" i="24" s="1"/>
  <c r="W7" i="24" s="1"/>
  <c r="W8" i="24" s="1"/>
  <c r="W9" i="24" s="1"/>
  <c r="W10" i="24" s="1"/>
  <c r="W11" i="24" s="1"/>
  <c r="W12" i="24" s="1"/>
  <c r="W13" i="24" s="1"/>
  <c r="W14" i="24" s="1"/>
  <c r="W15" i="24" s="1"/>
  <c r="W17" i="24" s="1"/>
  <c r="W18" i="24" s="1"/>
  <c r="W19" i="24" s="1"/>
  <c r="W20" i="24" s="1"/>
  <c r="W21" i="24" s="1"/>
  <c r="W22" i="24" s="1"/>
  <c r="W23" i="24" s="1"/>
  <c r="W24" i="24" s="1"/>
  <c r="W25" i="24" s="1"/>
  <c r="W26" i="24" s="1"/>
  <c r="W27" i="24" s="1"/>
  <c r="W28" i="24" s="1"/>
  <c r="W30" i="24" s="1"/>
  <c r="W31" i="24" s="1"/>
  <c r="W32" i="24" s="1"/>
  <c r="W33" i="24" s="1"/>
  <c r="W34" i="24" s="1"/>
  <c r="W35" i="24" s="1"/>
  <c r="W36" i="24" s="1"/>
  <c r="W37" i="24" s="1"/>
  <c r="W38" i="24" s="1"/>
  <c r="W39" i="24" s="1"/>
  <c r="W40" i="24" s="1"/>
  <c r="W41" i="24" s="1"/>
  <c r="W43" i="24" s="1"/>
  <c r="W44" i="24" s="1"/>
  <c r="W45" i="24" s="1"/>
  <c r="W46" i="24" s="1"/>
  <c r="W47" i="24" s="1"/>
  <c r="W48" i="24" s="1"/>
  <c r="W49" i="24" s="1"/>
  <c r="W50" i="24" s="1"/>
  <c r="W51" i="24" s="1"/>
  <c r="W52" i="24" s="1"/>
  <c r="W53" i="24" s="1"/>
  <c r="W54" i="24" s="1"/>
  <c r="W56" i="24" s="1"/>
  <c r="W57" i="24" s="1"/>
  <c r="W58" i="24" s="1"/>
  <c r="W59" i="24" s="1"/>
  <c r="W60" i="24" s="1"/>
  <c r="W61" i="24" s="1"/>
  <c r="W62" i="24" s="1"/>
  <c r="W63" i="24" s="1"/>
  <c r="W64" i="24" s="1"/>
  <c r="W65" i="24" s="1"/>
  <c r="W66" i="24" s="1"/>
  <c r="W67" i="24" s="1"/>
  <c r="W69" i="24" s="1"/>
  <c r="W70" i="24" s="1"/>
  <c r="W71" i="24" s="1"/>
  <c r="W72" i="24" s="1"/>
  <c r="W73" i="24" s="1"/>
  <c r="W74" i="24" s="1"/>
  <c r="W75" i="24" s="1"/>
  <c r="W76" i="24" s="1"/>
  <c r="W77" i="24" s="1"/>
  <c r="W78" i="24" s="1"/>
  <c r="W79" i="24" s="1"/>
  <c r="W80" i="24" s="1"/>
  <c r="W82" i="24" s="1"/>
  <c r="W83" i="24" s="1"/>
  <c r="W84" i="24" s="1"/>
  <c r="W85" i="24" s="1"/>
  <c r="W86" i="24" s="1"/>
  <c r="W87" i="24" s="1"/>
  <c r="W88" i="24" s="1"/>
  <c r="W89" i="24" s="1"/>
  <c r="W90" i="24" s="1"/>
  <c r="W91" i="24" s="1"/>
  <c r="W92" i="24" s="1"/>
  <c r="W93" i="24" s="1"/>
  <c r="W95" i="24" s="1"/>
  <c r="W96" i="24" s="1"/>
  <c r="W97" i="24" s="1"/>
  <c r="W98" i="24" s="1"/>
  <c r="W99" i="24" s="1"/>
  <c r="W100" i="24" s="1"/>
  <c r="W101" i="24" s="1"/>
  <c r="W102" i="24" s="1"/>
  <c r="W103" i="24" s="1"/>
  <c r="W104" i="24" s="1"/>
  <c r="W105" i="24" s="1"/>
  <c r="W106" i="24" s="1"/>
  <c r="W108" i="24" s="1"/>
  <c r="W109" i="24" s="1"/>
  <c r="W110" i="24" s="1"/>
  <c r="W111" i="24" s="1"/>
  <c r="W112" i="24" s="1"/>
  <c r="W113" i="24" s="1"/>
  <c r="W114" i="24" s="1"/>
  <c r="W115" i="24" s="1"/>
  <c r="W116" i="24" s="1"/>
  <c r="W117" i="24" s="1"/>
  <c r="W118" i="24" s="1"/>
  <c r="W119" i="24" s="1"/>
  <c r="W121" i="24" s="1"/>
  <c r="W122" i="24" s="1"/>
  <c r="W123" i="24" s="1"/>
  <c r="W124" i="24" s="1"/>
  <c r="W125" i="24" s="1"/>
  <c r="W126" i="24" s="1"/>
  <c r="W127" i="24" s="1"/>
  <c r="W128" i="24" s="1"/>
  <c r="W129" i="24" s="1"/>
  <c r="W130" i="24" s="1"/>
  <c r="W131" i="24" s="1"/>
  <c r="W132" i="24" s="1"/>
  <c r="W134" i="24" s="1"/>
  <c r="W135" i="24" s="1"/>
  <c r="W136" i="24" s="1"/>
  <c r="W137" i="24" s="1"/>
  <c r="W138" i="24" s="1"/>
  <c r="W139" i="24" s="1"/>
  <c r="W140" i="24" s="1"/>
  <c r="W141" i="24" s="1"/>
  <c r="W142" i="24" s="1"/>
  <c r="W143" i="24" s="1"/>
  <c r="W144" i="24" s="1"/>
  <c r="W145" i="24" s="1"/>
  <c r="O4" i="24"/>
  <c r="CS2" i="24"/>
  <c r="CK2" i="24"/>
  <c r="CC2" i="24"/>
  <c r="BU2" i="24"/>
  <c r="BM2" i="24"/>
  <c r="BE2" i="24"/>
  <c r="AW2" i="24"/>
  <c r="AO2" i="24"/>
  <c r="AG2" i="24"/>
  <c r="Y2" i="24"/>
  <c r="Q2" i="24"/>
  <c r="B410" i="28" l="1"/>
  <c r="A423" i="28"/>
  <c r="A425" i="28"/>
  <c r="A426" i="28"/>
  <c r="E59" i="40"/>
  <c r="H10" i="44"/>
  <c r="C78" i="48" s="1"/>
  <c r="B17" i="44"/>
  <c r="C52" i="43"/>
  <c r="A393" i="28" s="1"/>
  <c r="C62" i="43"/>
  <c r="A382" i="28" s="1"/>
  <c r="C63" i="43"/>
  <c r="A383" i="28" s="1"/>
  <c r="C64" i="43"/>
  <c r="A97" i="70" s="1"/>
  <c r="D259" i="28"/>
  <c r="H57" i="24"/>
  <c r="I51" i="24"/>
  <c r="I75" i="24"/>
  <c r="K69" i="24"/>
  <c r="J69" i="24"/>
  <c r="D54" i="24"/>
  <c r="K81" i="24"/>
  <c r="I57" i="24"/>
  <c r="L33" i="24"/>
  <c r="J51" i="24"/>
  <c r="K33" i="24"/>
  <c r="L57" i="24"/>
  <c r="L81" i="24"/>
  <c r="D69" i="24"/>
  <c r="J72" i="24"/>
  <c r="G39" i="24"/>
  <c r="H75" i="24"/>
  <c r="G87" i="24"/>
  <c r="I36" i="24"/>
  <c r="J84" i="24"/>
  <c r="J33" i="24"/>
  <c r="J57" i="24"/>
  <c r="J81" i="24"/>
  <c r="K39" i="24"/>
  <c r="K63" i="24"/>
  <c r="L66" i="24"/>
  <c r="K87" i="24"/>
  <c r="L45" i="24"/>
  <c r="I63" i="24"/>
  <c r="L69" i="24"/>
  <c r="H45" i="24"/>
  <c r="I39" i="24"/>
  <c r="I87" i="24"/>
  <c r="L60" i="24"/>
  <c r="E69" i="24"/>
  <c r="L63" i="24"/>
  <c r="F42" i="24"/>
  <c r="F66" i="24"/>
  <c r="J75" i="24"/>
  <c r="L39" i="24"/>
  <c r="G42" i="24"/>
  <c r="K57" i="24"/>
  <c r="J66" i="24"/>
  <c r="L36" i="24"/>
  <c r="K84" i="24"/>
  <c r="F63" i="24"/>
  <c r="F45" i="24"/>
  <c r="H54" i="24"/>
  <c r="H39" i="24"/>
  <c r="H63" i="24"/>
  <c r="J63" i="24"/>
  <c r="F39" i="24"/>
  <c r="H72" i="24"/>
  <c r="J39" i="24"/>
  <c r="L48" i="24"/>
  <c r="BG2" i="24"/>
  <c r="C9" i="24" s="1"/>
  <c r="E39" i="24"/>
  <c r="I30" i="24"/>
  <c r="D60" i="24"/>
  <c r="G51" i="24"/>
  <c r="I54" i="24"/>
  <c r="H60" i="24"/>
  <c r="F87" i="24"/>
  <c r="K75" i="24"/>
  <c r="H51" i="24"/>
  <c r="L72" i="24"/>
  <c r="D66" i="24"/>
  <c r="DG43" i="24"/>
  <c r="L51" i="24"/>
  <c r="H81" i="24"/>
  <c r="J42" i="24"/>
  <c r="BK5" i="24"/>
  <c r="BK6" i="24" s="1"/>
  <c r="BK7" i="24" s="1"/>
  <c r="BK8" i="24" s="1"/>
  <c r="BK9" i="24" s="1"/>
  <c r="BK10" i="24" s="1"/>
  <c r="BK11" i="24" s="1"/>
  <c r="BK12" i="24" s="1"/>
  <c r="BK13" i="24" s="1"/>
  <c r="BK14" i="24" s="1"/>
  <c r="BK15" i="24" s="1"/>
  <c r="BK17" i="24" s="1"/>
  <c r="BK18" i="24" s="1"/>
  <c r="BK19" i="24" s="1"/>
  <c r="BK20" i="24" s="1"/>
  <c r="BK21" i="24" s="1"/>
  <c r="BK22" i="24" s="1"/>
  <c r="BK23" i="24" s="1"/>
  <c r="BK24" i="24" s="1"/>
  <c r="BK25" i="24" s="1"/>
  <c r="BK26" i="24" s="1"/>
  <c r="BK27" i="24" s="1"/>
  <c r="BK28" i="24" s="1"/>
  <c r="BK30" i="24" s="1"/>
  <c r="BK31" i="24" s="1"/>
  <c r="BK32" i="24" s="1"/>
  <c r="BK33" i="24" s="1"/>
  <c r="BK34" i="24" s="1"/>
  <c r="BK35" i="24" s="1"/>
  <c r="BK36" i="24" s="1"/>
  <c r="BK37" i="24" s="1"/>
  <c r="BK38" i="24" s="1"/>
  <c r="BK39" i="24" s="1"/>
  <c r="BK40" i="24" s="1"/>
  <c r="BK41" i="24" s="1"/>
  <c r="BK43" i="24" s="1"/>
  <c r="BK44" i="24" s="1"/>
  <c r="BK45" i="24" s="1"/>
  <c r="BK46" i="24" s="1"/>
  <c r="BK47" i="24" s="1"/>
  <c r="BK48" i="24" s="1"/>
  <c r="BK49" i="24" s="1"/>
  <c r="BK50" i="24" s="1"/>
  <c r="BK51" i="24" s="1"/>
  <c r="BK52" i="24" s="1"/>
  <c r="BK53" i="24" s="1"/>
  <c r="BK54" i="24" s="1"/>
  <c r="BK56" i="24" s="1"/>
  <c r="BK57" i="24" s="1"/>
  <c r="BK58" i="24" s="1"/>
  <c r="BK59" i="24" s="1"/>
  <c r="BK60" i="24" s="1"/>
  <c r="BK61" i="24" s="1"/>
  <c r="BK62" i="24" s="1"/>
  <c r="BK63" i="24" s="1"/>
  <c r="BK64" i="24" s="1"/>
  <c r="BK65" i="24" s="1"/>
  <c r="BK66" i="24" s="1"/>
  <c r="BK67" i="24" s="1"/>
  <c r="BK69" i="24" s="1"/>
  <c r="BK70" i="24" s="1"/>
  <c r="BK71" i="24" s="1"/>
  <c r="BK72" i="24" s="1"/>
  <c r="BK73" i="24" s="1"/>
  <c r="BK74" i="24" s="1"/>
  <c r="BK75" i="24" s="1"/>
  <c r="BK76" i="24" s="1"/>
  <c r="BK77" i="24" s="1"/>
  <c r="BK78" i="24" s="1"/>
  <c r="BK79" i="24" s="1"/>
  <c r="BK80" i="24" s="1"/>
  <c r="BK82" i="24" s="1"/>
  <c r="BK83" i="24" s="1"/>
  <c r="BK84" i="24" s="1"/>
  <c r="BK85" i="24" s="1"/>
  <c r="BK86" i="24" s="1"/>
  <c r="BK87" i="24" s="1"/>
  <c r="BK88" i="24" s="1"/>
  <c r="BK89" i="24" s="1"/>
  <c r="BK90" i="24" s="1"/>
  <c r="BK91" i="24" s="1"/>
  <c r="BK92" i="24" s="1"/>
  <c r="BK93" i="24" s="1"/>
  <c r="BK95" i="24" s="1"/>
  <c r="BK96" i="24" s="1"/>
  <c r="BK97" i="24" s="1"/>
  <c r="BK98" i="24" s="1"/>
  <c r="BK99" i="24" s="1"/>
  <c r="BK100" i="24" s="1"/>
  <c r="BK101" i="24" s="1"/>
  <c r="BK102" i="24" s="1"/>
  <c r="BK103" i="24" s="1"/>
  <c r="BK104" i="24" s="1"/>
  <c r="BK105" i="24" s="1"/>
  <c r="BK106" i="24" s="1"/>
  <c r="BK108" i="24" s="1"/>
  <c r="BK109" i="24" s="1"/>
  <c r="BK110" i="24" s="1"/>
  <c r="BK111" i="24" s="1"/>
  <c r="BK112" i="24" s="1"/>
  <c r="BK113" i="24" s="1"/>
  <c r="BK114" i="24" s="1"/>
  <c r="BK115" i="24" s="1"/>
  <c r="BK116" i="24" s="1"/>
  <c r="BK117" i="24" s="1"/>
  <c r="BK118" i="24" s="1"/>
  <c r="BK119" i="24" s="1"/>
  <c r="BK121" i="24" s="1"/>
  <c r="BK122" i="24" s="1"/>
  <c r="BK123" i="24" s="1"/>
  <c r="BK124" i="24" s="1"/>
  <c r="BK125" i="24" s="1"/>
  <c r="BK126" i="24" s="1"/>
  <c r="BK127" i="24" s="1"/>
  <c r="BK128" i="24" s="1"/>
  <c r="BK129" i="24" s="1"/>
  <c r="BK130" i="24" s="1"/>
  <c r="BK131" i="24" s="1"/>
  <c r="BK132" i="24" s="1"/>
  <c r="BK134" i="24" s="1"/>
  <c r="BK135" i="24" s="1"/>
  <c r="BK136" i="24" s="1"/>
  <c r="BK137" i="24" s="1"/>
  <c r="BK138" i="24" s="1"/>
  <c r="BK139" i="24" s="1"/>
  <c r="BK140" i="24" s="1"/>
  <c r="BK141" i="24" s="1"/>
  <c r="BK142" i="24" s="1"/>
  <c r="BK143" i="24" s="1"/>
  <c r="BK144" i="24" s="1"/>
  <c r="BK145" i="24" s="1"/>
  <c r="AY147" i="24"/>
  <c r="BM147" i="24"/>
  <c r="CE147" i="24"/>
  <c r="AY2" i="24"/>
  <c r="C8" i="24" s="1"/>
  <c r="F51" i="24"/>
  <c r="K51" i="24"/>
  <c r="E54" i="24"/>
  <c r="G60" i="24"/>
  <c r="F33" i="24"/>
  <c r="F78" i="24"/>
  <c r="G30" i="24"/>
  <c r="I66" i="24"/>
  <c r="I69" i="24"/>
  <c r="J36" i="24"/>
  <c r="J60" i="24"/>
  <c r="AQ2" i="24"/>
  <c r="C7" i="24" s="1"/>
  <c r="BW2" i="24"/>
  <c r="C11" i="24" s="1"/>
  <c r="G36" i="24"/>
  <c r="J48" i="24"/>
  <c r="R147" i="24"/>
  <c r="Y147" i="24"/>
  <c r="AA2" i="24"/>
  <c r="C5" i="24" s="1"/>
  <c r="AJ147" i="24"/>
  <c r="AQ147" i="24"/>
  <c r="AX147" i="24"/>
  <c r="BE147" i="24"/>
  <c r="BP147" i="24"/>
  <c r="BW147" i="24"/>
  <c r="CD147" i="24"/>
  <c r="CK147" i="24"/>
  <c r="CM2" i="24"/>
  <c r="C13" i="24" s="1"/>
  <c r="C42" i="24"/>
  <c r="D42" i="24"/>
  <c r="J45" i="24"/>
  <c r="G48" i="24"/>
  <c r="E51" i="24"/>
  <c r="D51" i="24"/>
  <c r="L54" i="24"/>
  <c r="K54" i="24"/>
  <c r="E63" i="24"/>
  <c r="I78" i="24"/>
  <c r="K36" i="24"/>
  <c r="D75" i="24"/>
  <c r="H48" i="24"/>
  <c r="J89" i="24"/>
  <c r="K66" i="24"/>
  <c r="D81" i="24"/>
  <c r="L75" i="24"/>
  <c r="G54" i="24"/>
  <c r="BO2" i="24"/>
  <c r="C10" i="24" s="1"/>
  <c r="CE2" i="24"/>
  <c r="C12" i="24" s="1"/>
  <c r="H36" i="24"/>
  <c r="D87" i="24"/>
  <c r="K48" i="24"/>
  <c r="E57" i="24"/>
  <c r="G57" i="24"/>
  <c r="H66" i="24"/>
  <c r="F54" i="24"/>
  <c r="G72" i="24"/>
  <c r="H87" i="24"/>
  <c r="L88" i="24"/>
  <c r="C69" i="24"/>
  <c r="DG30" i="24"/>
  <c r="H42" i="24"/>
  <c r="L42" i="24"/>
  <c r="D48" i="24"/>
  <c r="C63" i="24"/>
  <c r="C87" i="24"/>
  <c r="D45" i="24"/>
  <c r="I45" i="24"/>
  <c r="I48" i="24"/>
  <c r="DE56" i="24"/>
  <c r="F60" i="24"/>
  <c r="F72" i="24"/>
  <c r="DJ69" i="24"/>
  <c r="J78" i="24"/>
  <c r="K78" i="24"/>
  <c r="F81" i="24"/>
  <c r="H84" i="24"/>
  <c r="J87" i="24"/>
  <c r="H69" i="24"/>
  <c r="I84" i="24"/>
  <c r="I91" i="24"/>
  <c r="I42" i="24"/>
  <c r="D57" i="24"/>
  <c r="F48" i="24"/>
  <c r="C54" i="24"/>
  <c r="DG56" i="24"/>
  <c r="K60" i="24"/>
  <c r="AO147" i="24"/>
  <c r="BG147" i="24"/>
  <c r="BN147" i="24"/>
  <c r="BU147" i="24"/>
  <c r="CM147" i="24"/>
  <c r="DS21" i="24"/>
  <c r="DS22" i="24" s="1"/>
  <c r="DS23" i="24" s="1"/>
  <c r="DP24" i="24"/>
  <c r="DP25" i="24" s="1"/>
  <c r="H89" i="24"/>
  <c r="L89" i="24"/>
  <c r="C51" i="24"/>
  <c r="DD30" i="24"/>
  <c r="J91" i="24"/>
  <c r="D63" i="24"/>
  <c r="K45" i="24"/>
  <c r="D39" i="24"/>
  <c r="E42" i="24"/>
  <c r="G63" i="24"/>
  <c r="F36" i="24"/>
  <c r="F75" i="24"/>
  <c r="G78" i="24"/>
  <c r="G66" i="24"/>
  <c r="G84" i="24"/>
  <c r="H78" i="24"/>
  <c r="L78" i="24"/>
  <c r="AW147" i="24"/>
  <c r="BO147" i="24"/>
  <c r="CC147" i="24"/>
  <c r="C72" i="24"/>
  <c r="K42" i="24"/>
  <c r="D36" i="24"/>
  <c r="C57" i="24"/>
  <c r="DJ43" i="24"/>
  <c r="J54" i="24"/>
  <c r="E48" i="24"/>
  <c r="F57" i="24"/>
  <c r="I60" i="24"/>
  <c r="F69" i="24"/>
  <c r="K72" i="24"/>
  <c r="L84" i="24"/>
  <c r="CU21" i="24"/>
  <c r="CU26" i="24"/>
  <c r="CU28" i="24"/>
  <c r="DK68" i="24"/>
  <c r="D23" i="24"/>
  <c r="H15" i="24" s="1"/>
  <c r="DK42" i="24"/>
  <c r="CW81" i="24"/>
  <c r="DK82" i="24" s="1"/>
  <c r="CQ20" i="24"/>
  <c r="CQ21" i="24" s="1"/>
  <c r="G16" i="24"/>
  <c r="CU25" i="24"/>
  <c r="CV55" i="24"/>
  <c r="CV81" i="24"/>
  <c r="CS29" i="24"/>
  <c r="CU23" i="24"/>
  <c r="CU24" i="24"/>
  <c r="CV68" i="24"/>
  <c r="AG147" i="24"/>
  <c r="AI2" i="24"/>
  <c r="C6" i="24" s="1"/>
  <c r="E45" i="24"/>
  <c r="AI147" i="24"/>
  <c r="D88" i="24"/>
  <c r="AH147" i="24"/>
  <c r="C45" i="24"/>
  <c r="N29" i="24"/>
  <c r="F89" i="24"/>
  <c r="F91" i="24"/>
  <c r="AA147" i="24"/>
  <c r="D92" i="24"/>
  <c r="E36" i="24"/>
  <c r="C39" i="24"/>
  <c r="Q147" i="24"/>
  <c r="S2" i="24"/>
  <c r="C4" i="24" s="1"/>
  <c r="S147" i="24"/>
  <c r="J9" i="24"/>
  <c r="DM18" i="24" a="1"/>
  <c r="DM18" i="24" s="1"/>
  <c r="DA19" i="24"/>
  <c r="O5" i="24"/>
  <c r="E8" i="24"/>
  <c r="AU5" i="24"/>
  <c r="AU6" i="24" s="1"/>
  <c r="AU7" i="24" s="1"/>
  <c r="AU8" i="24" s="1"/>
  <c r="AU9" i="24" s="1"/>
  <c r="AU10" i="24" s="1"/>
  <c r="AU11" i="24" s="1"/>
  <c r="AU12" i="24" s="1"/>
  <c r="AU13" i="24" s="1"/>
  <c r="AU14" i="24" s="1"/>
  <c r="AU15" i="24" s="1"/>
  <c r="AU17" i="24" s="1"/>
  <c r="AU18" i="24" s="1"/>
  <c r="AU19" i="24" s="1"/>
  <c r="AU20" i="24" s="1"/>
  <c r="AU21" i="24" s="1"/>
  <c r="AU22" i="24" s="1"/>
  <c r="AU23" i="24" s="1"/>
  <c r="AU24" i="24" s="1"/>
  <c r="AU25" i="24" s="1"/>
  <c r="AU26" i="24" s="1"/>
  <c r="AU27" i="24" s="1"/>
  <c r="AU28" i="24" s="1"/>
  <c r="AU30" i="24" s="1"/>
  <c r="AU31" i="24" s="1"/>
  <c r="AU32" i="24" s="1"/>
  <c r="AU33" i="24" s="1"/>
  <c r="AU34" i="24" s="1"/>
  <c r="AU35" i="24" s="1"/>
  <c r="AU36" i="24" s="1"/>
  <c r="AU37" i="24" s="1"/>
  <c r="AU38" i="24" s="1"/>
  <c r="AU39" i="24" s="1"/>
  <c r="AU40" i="24" s="1"/>
  <c r="AU41" i="24" s="1"/>
  <c r="AU43" i="24" s="1"/>
  <c r="AU44" i="24" s="1"/>
  <c r="AU45" i="24" s="1"/>
  <c r="AU46" i="24" s="1"/>
  <c r="AU47" i="24" s="1"/>
  <c r="AU48" i="24" s="1"/>
  <c r="AU49" i="24" s="1"/>
  <c r="AU50" i="24" s="1"/>
  <c r="AU51" i="24" s="1"/>
  <c r="AU52" i="24" s="1"/>
  <c r="AU53" i="24" s="1"/>
  <c r="AU54" i="24" s="1"/>
  <c r="AU56" i="24" s="1"/>
  <c r="AU57" i="24" s="1"/>
  <c r="AU58" i="24" s="1"/>
  <c r="AU59" i="24" s="1"/>
  <c r="AU60" i="24" s="1"/>
  <c r="AU61" i="24" s="1"/>
  <c r="AU62" i="24" s="1"/>
  <c r="AU63" i="24" s="1"/>
  <c r="AU64" i="24" s="1"/>
  <c r="AU65" i="24" s="1"/>
  <c r="AU66" i="24" s="1"/>
  <c r="AU67" i="24" s="1"/>
  <c r="AU69" i="24" s="1"/>
  <c r="AU70" i="24" s="1"/>
  <c r="AU71" i="24" s="1"/>
  <c r="AU72" i="24" s="1"/>
  <c r="AU73" i="24" s="1"/>
  <c r="AU74" i="24" s="1"/>
  <c r="AU75" i="24" s="1"/>
  <c r="AU76" i="24" s="1"/>
  <c r="AU77" i="24" s="1"/>
  <c r="AU78" i="24" s="1"/>
  <c r="AU79" i="24" s="1"/>
  <c r="AU80" i="24" s="1"/>
  <c r="AU82" i="24" s="1"/>
  <c r="AU83" i="24" s="1"/>
  <c r="AU84" i="24" s="1"/>
  <c r="AU85" i="24" s="1"/>
  <c r="AU86" i="24" s="1"/>
  <c r="AU87" i="24" s="1"/>
  <c r="AU88" i="24" s="1"/>
  <c r="AU89" i="24" s="1"/>
  <c r="AU90" i="24" s="1"/>
  <c r="AU91" i="24" s="1"/>
  <c r="AU92" i="24" s="1"/>
  <c r="AU93" i="24" s="1"/>
  <c r="AU95" i="24" s="1"/>
  <c r="AU96" i="24" s="1"/>
  <c r="AU97" i="24" s="1"/>
  <c r="AU98" i="24" s="1"/>
  <c r="AU99" i="24" s="1"/>
  <c r="AU100" i="24" s="1"/>
  <c r="AU101" i="24" s="1"/>
  <c r="AU102" i="24" s="1"/>
  <c r="AU103" i="24" s="1"/>
  <c r="AU104" i="24" s="1"/>
  <c r="AU105" i="24" s="1"/>
  <c r="AU106" i="24" s="1"/>
  <c r="AU108" i="24" s="1"/>
  <c r="AU109" i="24" s="1"/>
  <c r="AU110" i="24" s="1"/>
  <c r="AU111" i="24" s="1"/>
  <c r="AU112" i="24" s="1"/>
  <c r="AU113" i="24" s="1"/>
  <c r="AU114" i="24" s="1"/>
  <c r="AU115" i="24" s="1"/>
  <c r="AU116" i="24" s="1"/>
  <c r="AU117" i="24" s="1"/>
  <c r="AU118" i="24" s="1"/>
  <c r="AU119" i="24" s="1"/>
  <c r="AU121" i="24" s="1"/>
  <c r="AU122" i="24" s="1"/>
  <c r="AU123" i="24" s="1"/>
  <c r="AU124" i="24" s="1"/>
  <c r="AU125" i="24" s="1"/>
  <c r="AU126" i="24" s="1"/>
  <c r="AU127" i="24" s="1"/>
  <c r="AU128" i="24" s="1"/>
  <c r="AU129" i="24" s="1"/>
  <c r="AU130" i="24" s="1"/>
  <c r="AU131" i="24" s="1"/>
  <c r="AU132" i="24" s="1"/>
  <c r="AU134" i="24" s="1"/>
  <c r="AU135" i="24" s="1"/>
  <c r="AU136" i="24" s="1"/>
  <c r="AU137" i="24" s="1"/>
  <c r="AU138" i="24" s="1"/>
  <c r="AU139" i="24" s="1"/>
  <c r="AU140" i="24" s="1"/>
  <c r="AU141" i="24" s="1"/>
  <c r="AU142" i="24" s="1"/>
  <c r="AU143" i="24" s="1"/>
  <c r="AU144" i="24" s="1"/>
  <c r="AU145" i="24" s="1"/>
  <c r="E12" i="24"/>
  <c r="CA5" i="24"/>
  <c r="AC2" i="24"/>
  <c r="E5" i="24"/>
  <c r="AE6" i="24"/>
  <c r="AE7" i="24" s="1"/>
  <c r="AE8" i="24" s="1"/>
  <c r="AE9" i="24" s="1"/>
  <c r="AE10" i="24" s="1"/>
  <c r="AE11" i="24" s="1"/>
  <c r="AE12" i="24" s="1"/>
  <c r="AE13" i="24" s="1"/>
  <c r="AE14" i="24" s="1"/>
  <c r="AE15" i="24" s="1"/>
  <c r="AE17" i="24" s="1"/>
  <c r="AE18" i="24" s="1"/>
  <c r="AE19" i="24" s="1"/>
  <c r="AE20" i="24" s="1"/>
  <c r="AE21" i="24" s="1"/>
  <c r="AE22" i="24" s="1"/>
  <c r="AE23" i="24" s="1"/>
  <c r="AE24" i="24" s="1"/>
  <c r="AE25" i="24" s="1"/>
  <c r="AE26" i="24" s="1"/>
  <c r="AE27" i="24" s="1"/>
  <c r="AE28" i="24" s="1"/>
  <c r="AE30" i="24" s="1"/>
  <c r="AE31" i="24" s="1"/>
  <c r="AE32" i="24" s="1"/>
  <c r="AE33" i="24" s="1"/>
  <c r="AE34" i="24" s="1"/>
  <c r="AE35" i="24" s="1"/>
  <c r="AE36" i="24" s="1"/>
  <c r="AE37" i="24" s="1"/>
  <c r="AE38" i="24" s="1"/>
  <c r="AE39" i="24" s="1"/>
  <c r="AE40" i="24" s="1"/>
  <c r="AE41" i="24" s="1"/>
  <c r="AE43" i="24" s="1"/>
  <c r="AE44" i="24" s="1"/>
  <c r="AE45" i="24" s="1"/>
  <c r="AE46" i="24" s="1"/>
  <c r="AE47" i="24" s="1"/>
  <c r="AE48" i="24" s="1"/>
  <c r="AE49" i="24" s="1"/>
  <c r="AE50" i="24" s="1"/>
  <c r="AE51" i="24" s="1"/>
  <c r="AE52" i="24" s="1"/>
  <c r="AE53" i="24" s="1"/>
  <c r="AE54" i="24" s="1"/>
  <c r="AE56" i="24" s="1"/>
  <c r="AE57" i="24" s="1"/>
  <c r="AE58" i="24" s="1"/>
  <c r="AE59" i="24" s="1"/>
  <c r="AE60" i="24" s="1"/>
  <c r="AE61" i="24" s="1"/>
  <c r="AE62" i="24" s="1"/>
  <c r="AE63" i="24" s="1"/>
  <c r="AE64" i="24" s="1"/>
  <c r="AE65" i="24" s="1"/>
  <c r="AE66" i="24" s="1"/>
  <c r="AE67" i="24" s="1"/>
  <c r="AE69" i="24" s="1"/>
  <c r="AE70" i="24" s="1"/>
  <c r="AE71" i="24" s="1"/>
  <c r="AE72" i="24" s="1"/>
  <c r="AE73" i="24" s="1"/>
  <c r="AE74" i="24" s="1"/>
  <c r="AE75" i="24" s="1"/>
  <c r="AE76" i="24" s="1"/>
  <c r="AE77" i="24" s="1"/>
  <c r="AE78" i="24" s="1"/>
  <c r="AE79" i="24" s="1"/>
  <c r="AE80" i="24" s="1"/>
  <c r="AE82" i="24" s="1"/>
  <c r="AE83" i="24" s="1"/>
  <c r="AE84" i="24" s="1"/>
  <c r="AE85" i="24" s="1"/>
  <c r="AE86" i="24" s="1"/>
  <c r="AE87" i="24" s="1"/>
  <c r="AE88" i="24" s="1"/>
  <c r="AE89" i="24" s="1"/>
  <c r="AE90" i="24" s="1"/>
  <c r="AE91" i="24" s="1"/>
  <c r="AE92" i="24" s="1"/>
  <c r="AE93" i="24" s="1"/>
  <c r="AE95" i="24" s="1"/>
  <c r="AE96" i="24" s="1"/>
  <c r="AE97" i="24" s="1"/>
  <c r="AE98" i="24" s="1"/>
  <c r="AE99" i="24" s="1"/>
  <c r="AE100" i="24" s="1"/>
  <c r="AE101" i="24" s="1"/>
  <c r="AE102" i="24" s="1"/>
  <c r="AE103" i="24" s="1"/>
  <c r="AE104" i="24" s="1"/>
  <c r="AE105" i="24" s="1"/>
  <c r="AE106" i="24" s="1"/>
  <c r="AE108" i="24" s="1"/>
  <c r="AE109" i="24" s="1"/>
  <c r="AE110" i="24" s="1"/>
  <c r="AE111" i="24" s="1"/>
  <c r="AE112" i="24" s="1"/>
  <c r="AE113" i="24" s="1"/>
  <c r="AE114" i="24" s="1"/>
  <c r="AE115" i="24" s="1"/>
  <c r="AE116" i="24" s="1"/>
  <c r="AE117" i="24" s="1"/>
  <c r="AE118" i="24" s="1"/>
  <c r="AE119" i="24" s="1"/>
  <c r="AE121" i="24" s="1"/>
  <c r="AE122" i="24" s="1"/>
  <c r="AE123" i="24" s="1"/>
  <c r="AE124" i="24" s="1"/>
  <c r="AE125" i="24" s="1"/>
  <c r="AE126" i="24" s="1"/>
  <c r="AE127" i="24" s="1"/>
  <c r="AE128" i="24" s="1"/>
  <c r="AE129" i="24" s="1"/>
  <c r="AE130" i="24" s="1"/>
  <c r="AE131" i="24" s="1"/>
  <c r="AE132" i="24" s="1"/>
  <c r="AE134" i="24" s="1"/>
  <c r="AE135" i="24" s="1"/>
  <c r="AE136" i="24" s="1"/>
  <c r="AE137" i="24" s="1"/>
  <c r="AE138" i="24" s="1"/>
  <c r="AE139" i="24" s="1"/>
  <c r="AE140" i="24" s="1"/>
  <c r="AE141" i="24" s="1"/>
  <c r="AE142" i="24" s="1"/>
  <c r="AE143" i="24" s="1"/>
  <c r="AE144" i="24" s="1"/>
  <c r="AE145" i="24" s="1"/>
  <c r="J13" i="24"/>
  <c r="CU22" i="24"/>
  <c r="CT26" i="24"/>
  <c r="F88" i="24"/>
  <c r="F30" i="24"/>
  <c r="J88" i="24"/>
  <c r="J30" i="24"/>
  <c r="CT28" i="24"/>
  <c r="D89" i="24"/>
  <c r="C36" i="24"/>
  <c r="C48" i="24"/>
  <c r="DK29" i="24"/>
  <c r="CV42" i="24"/>
  <c r="CT44" i="24"/>
  <c r="CT51" i="24"/>
  <c r="C78" i="24"/>
  <c r="DJ17" i="24"/>
  <c r="CT27" i="24"/>
  <c r="C91" i="24"/>
  <c r="E89" i="24"/>
  <c r="J10" i="24"/>
  <c r="T147" i="24"/>
  <c r="AZ147" i="24"/>
  <c r="CF147" i="24"/>
  <c r="CU27" i="24"/>
  <c r="H88" i="24"/>
  <c r="H30" i="24"/>
  <c r="L30" i="24"/>
  <c r="E92" i="24"/>
  <c r="E33" i="24"/>
  <c r="CV29" i="24"/>
  <c r="CT21" i="24"/>
  <c r="CT25" i="24"/>
  <c r="E30" i="24"/>
  <c r="C89" i="24"/>
  <c r="C30" i="24"/>
  <c r="D30" i="24"/>
  <c r="CW55" i="24"/>
  <c r="DK56" i="24" s="1"/>
  <c r="DK55" i="24"/>
  <c r="E91" i="24"/>
  <c r="C92" i="24"/>
  <c r="H92" i="24"/>
  <c r="C33" i="24"/>
  <c r="H33" i="24"/>
  <c r="CT36" i="24"/>
  <c r="CS55" i="24"/>
  <c r="CT43" i="24"/>
  <c r="CT58" i="24"/>
  <c r="CT59" i="24"/>
  <c r="CT66" i="24"/>
  <c r="CT90" i="24"/>
  <c r="AS2" i="24"/>
  <c r="BY2" i="24"/>
  <c r="BC5" i="24"/>
  <c r="CI5" i="24"/>
  <c r="E7" i="24"/>
  <c r="E11" i="24"/>
  <c r="AB147" i="24"/>
  <c r="AP147" i="24"/>
  <c r="BH147" i="24"/>
  <c r="BV147" i="24"/>
  <c r="CN147" i="24"/>
  <c r="CU20" i="24"/>
  <c r="C88" i="24"/>
  <c r="G88" i="24"/>
  <c r="K88" i="24"/>
  <c r="G89" i="24"/>
  <c r="K89" i="24"/>
  <c r="C66" i="24"/>
  <c r="C81" i="24"/>
  <c r="K30" i="24"/>
  <c r="I92" i="24"/>
  <c r="I33" i="24"/>
  <c r="CT32" i="24"/>
  <c r="D33" i="24"/>
  <c r="CT40" i="24"/>
  <c r="D91" i="24"/>
  <c r="CT50" i="24"/>
  <c r="E60" i="24"/>
  <c r="E72" i="24"/>
  <c r="CT60" i="24"/>
  <c r="CT61" i="24"/>
  <c r="F84" i="24"/>
  <c r="F92" i="24"/>
  <c r="G45" i="24"/>
  <c r="DG82" i="24"/>
  <c r="G69" i="24"/>
  <c r="CT75" i="24"/>
  <c r="CT80" i="24"/>
  <c r="E84" i="24"/>
  <c r="Z147" i="24"/>
  <c r="AR147" i="24"/>
  <c r="BF147" i="24"/>
  <c r="BX147" i="24"/>
  <c r="CL147" i="24"/>
  <c r="E88" i="24"/>
  <c r="I88" i="24"/>
  <c r="I89" i="24"/>
  <c r="C60" i="24"/>
  <c r="C75" i="24"/>
  <c r="C84" i="24"/>
  <c r="CS42" i="24"/>
  <c r="G91" i="24"/>
  <c r="K91" i="24"/>
  <c r="G92" i="24"/>
  <c r="K92" i="24"/>
  <c r="G33" i="24"/>
  <c r="CT39" i="24"/>
  <c r="CT45" i="24"/>
  <c r="E66" i="24"/>
  <c r="E78" i="24"/>
  <c r="CT64" i="24"/>
  <c r="CT65" i="24"/>
  <c r="CT67" i="24"/>
  <c r="I72" i="24"/>
  <c r="G81" i="24"/>
  <c r="CT95" i="24"/>
  <c r="CT107" i="24" s="1"/>
  <c r="CS107" i="24"/>
  <c r="H91" i="24"/>
  <c r="L91" i="24"/>
  <c r="J92" i="24"/>
  <c r="D78" i="24"/>
  <c r="DE43" i="24"/>
  <c r="DI43" i="24"/>
  <c r="E81" i="24"/>
  <c r="CS68" i="24"/>
  <c r="CS81" i="24"/>
  <c r="CT69" i="24"/>
  <c r="DH82" i="24"/>
  <c r="G75" i="24"/>
  <c r="CT92" i="24"/>
  <c r="I81" i="24"/>
  <c r="D72" i="24"/>
  <c r="D84" i="24"/>
  <c r="E75" i="24"/>
  <c r="E87" i="24"/>
  <c r="DJ56" i="24"/>
  <c r="CT74" i="24"/>
  <c r="CT88" i="24"/>
  <c r="CS94" i="24"/>
  <c r="CT83" i="24"/>
  <c r="CT86" i="24"/>
  <c r="CV94" i="24"/>
  <c r="CT85" i="24"/>
  <c r="A153" i="62" l="1"/>
  <c r="A95" i="70"/>
  <c r="A96" i="70"/>
  <c r="A154" i="62"/>
  <c r="A384" i="28"/>
  <c r="A155" i="62"/>
  <c r="S111" i="70"/>
  <c r="AB26" i="70" s="1"/>
  <c r="AD26" i="70" s="1"/>
  <c r="AF26" i="70" s="1"/>
  <c r="C97" i="62"/>
  <c r="D97" i="62" s="1"/>
  <c r="F97" i="62" s="1"/>
  <c r="H97" i="62" s="1"/>
  <c r="A106" i="70"/>
  <c r="A164" i="62"/>
  <c r="C157" i="48"/>
  <c r="J10" i="44"/>
  <c r="A24" i="58"/>
  <c r="A431" i="47"/>
  <c r="A97" i="47"/>
  <c r="B120" i="45"/>
  <c r="A162" i="47"/>
  <c r="A30" i="47"/>
  <c r="L93" i="24"/>
  <c r="H93" i="24"/>
  <c r="L90" i="24"/>
  <c r="DR24" i="24"/>
  <c r="J93" i="24"/>
  <c r="BQ2" i="24"/>
  <c r="F10" i="24" s="1"/>
  <c r="F93" i="24"/>
  <c r="K93" i="24"/>
  <c r="J90" i="24"/>
  <c r="BA2" i="24"/>
  <c r="F8" i="24" s="1"/>
  <c r="H90" i="24"/>
  <c r="I90" i="24"/>
  <c r="G90" i="24"/>
  <c r="I93" i="24"/>
  <c r="F11" i="24"/>
  <c r="C14" i="24"/>
  <c r="D93" i="24"/>
  <c r="K90" i="24"/>
  <c r="DS24" i="24"/>
  <c r="CT29" i="24"/>
  <c r="H16" i="24"/>
  <c r="CS147" i="24"/>
  <c r="CT94" i="24"/>
  <c r="CV147" i="24"/>
  <c r="CU29" i="24"/>
  <c r="CU147" i="24" s="1"/>
  <c r="CT81" i="24"/>
  <c r="CT42" i="24"/>
  <c r="I7" i="24"/>
  <c r="J7" i="24"/>
  <c r="C90" i="24"/>
  <c r="DP26" i="24"/>
  <c r="DR25" i="24"/>
  <c r="AK2" i="24"/>
  <c r="F6" i="24" s="1"/>
  <c r="J5" i="24"/>
  <c r="I5" i="24"/>
  <c r="DA20" i="24"/>
  <c r="DM19" i="24" a="1"/>
  <c r="DM19" i="24" s="1"/>
  <c r="F7" i="24"/>
  <c r="CI6" i="24"/>
  <c r="CI7" i="24" s="1"/>
  <c r="CI8" i="24" s="1"/>
  <c r="CI9" i="24" s="1"/>
  <c r="CI10" i="24" s="1"/>
  <c r="CI11" i="24" s="1"/>
  <c r="CI12" i="24" s="1"/>
  <c r="CI13" i="24" s="1"/>
  <c r="CI14" i="24" s="1"/>
  <c r="CI15" i="24" s="1"/>
  <c r="CI17" i="24" s="1"/>
  <c r="CI18" i="24" s="1"/>
  <c r="CI19" i="24" s="1"/>
  <c r="CI20" i="24" s="1"/>
  <c r="CI21" i="24" s="1"/>
  <c r="CI22" i="24" s="1"/>
  <c r="CI23" i="24" s="1"/>
  <c r="CI24" i="24" s="1"/>
  <c r="CI25" i="24" s="1"/>
  <c r="CI26" i="24" s="1"/>
  <c r="CI27" i="24" s="1"/>
  <c r="CI28" i="24" s="1"/>
  <c r="CI30" i="24" s="1"/>
  <c r="CI31" i="24" s="1"/>
  <c r="CI32" i="24" s="1"/>
  <c r="CI33" i="24" s="1"/>
  <c r="CI34" i="24" s="1"/>
  <c r="CI35" i="24" s="1"/>
  <c r="CI36" i="24" s="1"/>
  <c r="CI37" i="24" s="1"/>
  <c r="CI38" i="24" s="1"/>
  <c r="CI39" i="24" s="1"/>
  <c r="CI40" i="24" s="1"/>
  <c r="CI41" i="24" s="1"/>
  <c r="CI43" i="24" s="1"/>
  <c r="CI44" i="24" s="1"/>
  <c r="CI45" i="24" s="1"/>
  <c r="CI46" i="24" s="1"/>
  <c r="CI47" i="24" s="1"/>
  <c r="CI48" i="24" s="1"/>
  <c r="CI49" i="24" s="1"/>
  <c r="CI50" i="24" s="1"/>
  <c r="CI51" i="24" s="1"/>
  <c r="CI52" i="24" s="1"/>
  <c r="CI53" i="24" s="1"/>
  <c r="CI54" i="24" s="1"/>
  <c r="CI56" i="24" s="1"/>
  <c r="CI57" i="24" s="1"/>
  <c r="CI58" i="24" s="1"/>
  <c r="CI59" i="24" s="1"/>
  <c r="CI60" i="24" s="1"/>
  <c r="CI61" i="24" s="1"/>
  <c r="CI62" i="24" s="1"/>
  <c r="CI63" i="24" s="1"/>
  <c r="CI64" i="24" s="1"/>
  <c r="CI65" i="24" s="1"/>
  <c r="CI66" i="24" s="1"/>
  <c r="CI67" i="24" s="1"/>
  <c r="CI69" i="24" s="1"/>
  <c r="CI70" i="24" s="1"/>
  <c r="CI71" i="24" s="1"/>
  <c r="CI72" i="24" s="1"/>
  <c r="CI73" i="24" s="1"/>
  <c r="CI74" i="24" s="1"/>
  <c r="CI75" i="24" s="1"/>
  <c r="CI76" i="24" s="1"/>
  <c r="CI77" i="24" s="1"/>
  <c r="CI78" i="24" s="1"/>
  <c r="CI79" i="24" s="1"/>
  <c r="CI80" i="24" s="1"/>
  <c r="CI82" i="24" s="1"/>
  <c r="CI83" i="24" s="1"/>
  <c r="CI84" i="24" s="1"/>
  <c r="CI85" i="24" s="1"/>
  <c r="CI86" i="24" s="1"/>
  <c r="CI87" i="24" s="1"/>
  <c r="CI88" i="24" s="1"/>
  <c r="CI89" i="24" s="1"/>
  <c r="CI90" i="24" s="1"/>
  <c r="CI91" i="24" s="1"/>
  <c r="CI92" i="24" s="1"/>
  <c r="CI93" i="24" s="1"/>
  <c r="CI95" i="24" s="1"/>
  <c r="CI96" i="24" s="1"/>
  <c r="CI97" i="24" s="1"/>
  <c r="CI98" i="24" s="1"/>
  <c r="CI99" i="24" s="1"/>
  <c r="CI100" i="24" s="1"/>
  <c r="CI101" i="24" s="1"/>
  <c r="CI102" i="24" s="1"/>
  <c r="CI103" i="24" s="1"/>
  <c r="CI104" i="24" s="1"/>
  <c r="CI105" i="24" s="1"/>
  <c r="CI106" i="24" s="1"/>
  <c r="CI108" i="24" s="1"/>
  <c r="CI109" i="24" s="1"/>
  <c r="CI110" i="24" s="1"/>
  <c r="CI111" i="24" s="1"/>
  <c r="CI112" i="24" s="1"/>
  <c r="CI113" i="24" s="1"/>
  <c r="CI114" i="24" s="1"/>
  <c r="CI115" i="24" s="1"/>
  <c r="CI116" i="24" s="1"/>
  <c r="CI117" i="24" s="1"/>
  <c r="CI118" i="24" s="1"/>
  <c r="CI119" i="24" s="1"/>
  <c r="CI121" i="24" s="1"/>
  <c r="CI122" i="24" s="1"/>
  <c r="CI123" i="24" s="1"/>
  <c r="CI124" i="24" s="1"/>
  <c r="CI125" i="24" s="1"/>
  <c r="CI126" i="24" s="1"/>
  <c r="CI127" i="24" s="1"/>
  <c r="CI128" i="24" s="1"/>
  <c r="CI129" i="24" s="1"/>
  <c r="CI130" i="24" s="1"/>
  <c r="CI131" i="24" s="1"/>
  <c r="CI132" i="24" s="1"/>
  <c r="CI134" i="24" s="1"/>
  <c r="CI135" i="24" s="1"/>
  <c r="CI136" i="24" s="1"/>
  <c r="CI137" i="24" s="1"/>
  <c r="CI138" i="24" s="1"/>
  <c r="CI139" i="24" s="1"/>
  <c r="CI140" i="24" s="1"/>
  <c r="CI141" i="24" s="1"/>
  <c r="CI142" i="24" s="1"/>
  <c r="CI143" i="24" s="1"/>
  <c r="CI144" i="24" s="1"/>
  <c r="CI145" i="24" s="1"/>
  <c r="CT55" i="24"/>
  <c r="CQ22" i="24"/>
  <c r="CQ23" i="24" s="1"/>
  <c r="CQ24" i="24" s="1"/>
  <c r="CQ25" i="24" s="1"/>
  <c r="CQ26" i="24" s="1"/>
  <c r="CQ27" i="24" s="1"/>
  <c r="CQ28" i="24" s="1"/>
  <c r="CQ30" i="24" s="1"/>
  <c r="CQ31" i="24" s="1"/>
  <c r="CQ32" i="24" s="1"/>
  <c r="CQ33" i="24" s="1"/>
  <c r="CQ34" i="24" s="1"/>
  <c r="CQ35" i="24" s="1"/>
  <c r="CQ36" i="24" s="1"/>
  <c r="CQ37" i="24" s="1"/>
  <c r="CQ38" i="24" s="1"/>
  <c r="CQ39" i="24" s="1"/>
  <c r="CQ40" i="24" s="1"/>
  <c r="CQ41" i="24" s="1"/>
  <c r="CQ43" i="24" s="1"/>
  <c r="CQ44" i="24" s="1"/>
  <c r="CQ45" i="24" s="1"/>
  <c r="CQ46" i="24" s="1"/>
  <c r="CQ47" i="24" s="1"/>
  <c r="CQ48" i="24" s="1"/>
  <c r="CQ49" i="24" s="1"/>
  <c r="CQ50" i="24" s="1"/>
  <c r="CQ51" i="24" s="1"/>
  <c r="CQ52" i="24" s="1"/>
  <c r="CQ53" i="24" s="1"/>
  <c r="CQ54" i="24" s="1"/>
  <c r="CQ56" i="24" s="1"/>
  <c r="CQ57" i="24" s="1"/>
  <c r="CQ58" i="24" s="1"/>
  <c r="CQ59" i="24" s="1"/>
  <c r="CQ60" i="24" s="1"/>
  <c r="CQ61" i="24" s="1"/>
  <c r="CQ62" i="24" s="1"/>
  <c r="CQ63" i="24" s="1"/>
  <c r="CQ64" i="24" s="1"/>
  <c r="CQ65" i="24" s="1"/>
  <c r="CQ66" i="24" s="1"/>
  <c r="CQ67" i="24" s="1"/>
  <c r="CQ69" i="24" s="1"/>
  <c r="CQ70" i="24" s="1"/>
  <c r="CQ71" i="24" s="1"/>
  <c r="CQ72" i="24" s="1"/>
  <c r="CQ73" i="24" s="1"/>
  <c r="CQ74" i="24" s="1"/>
  <c r="CQ75" i="24" s="1"/>
  <c r="CQ76" i="24" s="1"/>
  <c r="CQ77" i="24" s="1"/>
  <c r="CQ78" i="24" s="1"/>
  <c r="CQ79" i="24" s="1"/>
  <c r="CQ80" i="24" s="1"/>
  <c r="CQ82" i="24" s="1"/>
  <c r="CQ83" i="24" s="1"/>
  <c r="CQ84" i="24" s="1"/>
  <c r="CQ85" i="24" s="1"/>
  <c r="CQ86" i="24" s="1"/>
  <c r="CQ87" i="24" s="1"/>
  <c r="CQ88" i="24" s="1"/>
  <c r="CQ89" i="24" s="1"/>
  <c r="CQ90" i="24" s="1"/>
  <c r="CQ91" i="24" s="1"/>
  <c r="CQ92" i="24" s="1"/>
  <c r="CQ93" i="24" s="1"/>
  <c r="CQ95" i="24" s="1"/>
  <c r="CQ96" i="24" s="1"/>
  <c r="CQ97" i="24" s="1"/>
  <c r="CQ98" i="24" s="1"/>
  <c r="CQ99" i="24" s="1"/>
  <c r="CQ100" i="24" s="1"/>
  <c r="CQ101" i="24" s="1"/>
  <c r="CQ102" i="24" s="1"/>
  <c r="CQ103" i="24" s="1"/>
  <c r="CQ104" i="24" s="1"/>
  <c r="CQ105" i="24" s="1"/>
  <c r="CQ106" i="24" s="1"/>
  <c r="CQ108" i="24" s="1"/>
  <c r="CQ109" i="24" s="1"/>
  <c r="CQ110" i="24" s="1"/>
  <c r="CQ111" i="24" s="1"/>
  <c r="CQ112" i="24" s="1"/>
  <c r="CQ113" i="24" s="1"/>
  <c r="CQ114" i="24" s="1"/>
  <c r="CQ115" i="24" s="1"/>
  <c r="CQ116" i="24" s="1"/>
  <c r="CQ117" i="24" s="1"/>
  <c r="CQ118" i="24" s="1"/>
  <c r="CQ119" i="24" s="1"/>
  <c r="CQ121" i="24" s="1"/>
  <c r="CQ122" i="24" s="1"/>
  <c r="CQ123" i="24" s="1"/>
  <c r="CQ124" i="24" s="1"/>
  <c r="CQ125" i="24" s="1"/>
  <c r="CQ126" i="24" s="1"/>
  <c r="CQ127" i="24" s="1"/>
  <c r="CQ128" i="24" s="1"/>
  <c r="CQ129" i="24" s="1"/>
  <c r="CQ130" i="24" s="1"/>
  <c r="CQ131" i="24" s="1"/>
  <c r="CQ132" i="24" s="1"/>
  <c r="CQ134" i="24" s="1"/>
  <c r="CQ135" i="24" s="1"/>
  <c r="CQ136" i="24" s="1"/>
  <c r="CQ137" i="24" s="1"/>
  <c r="CQ138" i="24" s="1"/>
  <c r="CQ139" i="24" s="1"/>
  <c r="CQ140" i="24" s="1"/>
  <c r="CQ141" i="24" s="1"/>
  <c r="CQ142" i="24" s="1"/>
  <c r="CQ143" i="24" s="1"/>
  <c r="CQ144" i="24" s="1"/>
  <c r="CQ145" i="24" s="1"/>
  <c r="E93" i="24"/>
  <c r="CU2" i="24"/>
  <c r="G93" i="24"/>
  <c r="BC6" i="24"/>
  <c r="BC7" i="24" s="1"/>
  <c r="BC8" i="24" s="1"/>
  <c r="BC9" i="24" s="1"/>
  <c r="BC10" i="24" s="1"/>
  <c r="BC11" i="24" s="1"/>
  <c r="BC12" i="24" s="1"/>
  <c r="BC13" i="24" s="1"/>
  <c r="BC14" i="24" s="1"/>
  <c r="BC15" i="24" s="1"/>
  <c r="BC17" i="24" s="1"/>
  <c r="BC18" i="24" s="1"/>
  <c r="BC19" i="24" s="1"/>
  <c r="BC20" i="24" s="1"/>
  <c r="BC21" i="24" s="1"/>
  <c r="BC22" i="24" s="1"/>
  <c r="BC23" i="24" s="1"/>
  <c r="BC24" i="24" s="1"/>
  <c r="BC25" i="24" s="1"/>
  <c r="BC26" i="24" s="1"/>
  <c r="BC27" i="24" s="1"/>
  <c r="BC28" i="24" s="1"/>
  <c r="BC30" i="24" s="1"/>
  <c r="BC31" i="24" s="1"/>
  <c r="BC32" i="24" s="1"/>
  <c r="BC33" i="24" s="1"/>
  <c r="BC34" i="24" s="1"/>
  <c r="BC35" i="24" s="1"/>
  <c r="BC36" i="24" s="1"/>
  <c r="BC37" i="24" s="1"/>
  <c r="BC38" i="24" s="1"/>
  <c r="BC39" i="24" s="1"/>
  <c r="BC40" i="24" s="1"/>
  <c r="BC41" i="24" s="1"/>
  <c r="BC43" i="24" s="1"/>
  <c r="BC44" i="24" s="1"/>
  <c r="BC45" i="24" s="1"/>
  <c r="BC46" i="24" s="1"/>
  <c r="BC47" i="24" s="1"/>
  <c r="BC48" i="24" s="1"/>
  <c r="BC49" i="24" s="1"/>
  <c r="BC50" i="24" s="1"/>
  <c r="BC51" i="24" s="1"/>
  <c r="BC52" i="24" s="1"/>
  <c r="BC53" i="24" s="1"/>
  <c r="BC54" i="24" s="1"/>
  <c r="BC56" i="24" s="1"/>
  <c r="BC57" i="24" s="1"/>
  <c r="BC58" i="24" s="1"/>
  <c r="BC59" i="24" s="1"/>
  <c r="BC60" i="24" s="1"/>
  <c r="BC61" i="24" s="1"/>
  <c r="BC62" i="24" s="1"/>
  <c r="BC63" i="24" s="1"/>
  <c r="BC64" i="24" s="1"/>
  <c r="BC65" i="24" s="1"/>
  <c r="BC66" i="24" s="1"/>
  <c r="BC67" i="24" s="1"/>
  <c r="BC69" i="24" s="1"/>
  <c r="BC70" i="24" s="1"/>
  <c r="BC71" i="24" s="1"/>
  <c r="BC72" i="24" s="1"/>
  <c r="BC73" i="24" s="1"/>
  <c r="BC74" i="24" s="1"/>
  <c r="BC75" i="24" s="1"/>
  <c r="BC76" i="24" s="1"/>
  <c r="BC77" i="24" s="1"/>
  <c r="BC78" i="24" s="1"/>
  <c r="BC79" i="24" s="1"/>
  <c r="BC80" i="24" s="1"/>
  <c r="BC82" i="24" s="1"/>
  <c r="BC83" i="24" s="1"/>
  <c r="BC84" i="24" s="1"/>
  <c r="BC85" i="24" s="1"/>
  <c r="BC86" i="24" s="1"/>
  <c r="BC87" i="24" s="1"/>
  <c r="BC88" i="24" s="1"/>
  <c r="BC89" i="24" s="1"/>
  <c r="BC90" i="24" s="1"/>
  <c r="BC91" i="24" s="1"/>
  <c r="BC92" i="24" s="1"/>
  <c r="BC93" i="24" s="1"/>
  <c r="BC95" i="24" s="1"/>
  <c r="BC96" i="24" s="1"/>
  <c r="BC97" i="24" s="1"/>
  <c r="BC98" i="24" s="1"/>
  <c r="BC99" i="24" s="1"/>
  <c r="BC100" i="24" s="1"/>
  <c r="BC101" i="24" s="1"/>
  <c r="BC102" i="24" s="1"/>
  <c r="BC103" i="24" s="1"/>
  <c r="BC104" i="24" s="1"/>
  <c r="BC105" i="24" s="1"/>
  <c r="BC106" i="24" s="1"/>
  <c r="BC108" i="24" s="1"/>
  <c r="BC109" i="24" s="1"/>
  <c r="BC110" i="24" s="1"/>
  <c r="BC111" i="24" s="1"/>
  <c r="BC112" i="24" s="1"/>
  <c r="BC113" i="24" s="1"/>
  <c r="BC114" i="24" s="1"/>
  <c r="BC115" i="24" s="1"/>
  <c r="BC116" i="24" s="1"/>
  <c r="BC117" i="24" s="1"/>
  <c r="BC118" i="24" s="1"/>
  <c r="BC119" i="24" s="1"/>
  <c r="BC121" i="24" s="1"/>
  <c r="BC122" i="24" s="1"/>
  <c r="BC123" i="24" s="1"/>
  <c r="BC124" i="24" s="1"/>
  <c r="BC125" i="24" s="1"/>
  <c r="BC126" i="24" s="1"/>
  <c r="BC127" i="24" s="1"/>
  <c r="BC128" i="24" s="1"/>
  <c r="BC129" i="24" s="1"/>
  <c r="BC130" i="24" s="1"/>
  <c r="BC131" i="24" s="1"/>
  <c r="BC132" i="24" s="1"/>
  <c r="BC134" i="24" s="1"/>
  <c r="BC135" i="24" s="1"/>
  <c r="BC136" i="24" s="1"/>
  <c r="BC137" i="24" s="1"/>
  <c r="BC138" i="24" s="1"/>
  <c r="BC139" i="24" s="1"/>
  <c r="BC140" i="24" s="1"/>
  <c r="BC141" i="24" s="1"/>
  <c r="BC142" i="24" s="1"/>
  <c r="BC143" i="24" s="1"/>
  <c r="BC144" i="24" s="1"/>
  <c r="BC145" i="24" s="1"/>
  <c r="E90" i="24"/>
  <c r="E6" i="24"/>
  <c r="F90" i="24"/>
  <c r="CA6" i="24"/>
  <c r="CA7" i="24" s="1"/>
  <c r="CA8" i="24" s="1"/>
  <c r="CA9" i="24" s="1"/>
  <c r="CA10" i="24" s="1"/>
  <c r="CA11" i="24" s="1"/>
  <c r="CA12" i="24" s="1"/>
  <c r="CA13" i="24" s="1"/>
  <c r="CA14" i="24" s="1"/>
  <c r="CA15" i="24" s="1"/>
  <c r="CA17" i="24" s="1"/>
  <c r="CA18" i="24" s="1"/>
  <c r="CA19" i="24" s="1"/>
  <c r="CA20" i="24" s="1"/>
  <c r="CA21" i="24" s="1"/>
  <c r="CA22" i="24" s="1"/>
  <c r="CA23" i="24" s="1"/>
  <c r="CA24" i="24" s="1"/>
  <c r="CA25" i="24" s="1"/>
  <c r="CA26" i="24" s="1"/>
  <c r="CA27" i="24" s="1"/>
  <c r="CA28" i="24" s="1"/>
  <c r="CA30" i="24" s="1"/>
  <c r="CA31" i="24" s="1"/>
  <c r="CA32" i="24" s="1"/>
  <c r="CA33" i="24" s="1"/>
  <c r="CA34" i="24" s="1"/>
  <c r="CA35" i="24" s="1"/>
  <c r="CA36" i="24" s="1"/>
  <c r="CA37" i="24" s="1"/>
  <c r="CA38" i="24" s="1"/>
  <c r="CA39" i="24" s="1"/>
  <c r="CA40" i="24" s="1"/>
  <c r="CA41" i="24" s="1"/>
  <c r="CA43" i="24" s="1"/>
  <c r="CA44" i="24" s="1"/>
  <c r="CA45" i="24" s="1"/>
  <c r="CA46" i="24" s="1"/>
  <c r="CA47" i="24" s="1"/>
  <c r="CA48" i="24" s="1"/>
  <c r="CA49" i="24" s="1"/>
  <c r="CA50" i="24" s="1"/>
  <c r="CA51" i="24" s="1"/>
  <c r="CA52" i="24" s="1"/>
  <c r="CA53" i="24" s="1"/>
  <c r="CA54" i="24" s="1"/>
  <c r="CA56" i="24" s="1"/>
  <c r="CA57" i="24" s="1"/>
  <c r="CA58" i="24" s="1"/>
  <c r="CA59" i="24" s="1"/>
  <c r="CA60" i="24" s="1"/>
  <c r="CA61" i="24" s="1"/>
  <c r="CA62" i="24" s="1"/>
  <c r="CA63" i="24" s="1"/>
  <c r="CA64" i="24" s="1"/>
  <c r="CA65" i="24" s="1"/>
  <c r="CA66" i="24" s="1"/>
  <c r="CA67" i="24" s="1"/>
  <c r="CA69" i="24" s="1"/>
  <c r="CA70" i="24" s="1"/>
  <c r="CA71" i="24" s="1"/>
  <c r="CA72" i="24" s="1"/>
  <c r="CA73" i="24" s="1"/>
  <c r="CA74" i="24" s="1"/>
  <c r="CA75" i="24" s="1"/>
  <c r="CA76" i="24" s="1"/>
  <c r="CA77" i="24" s="1"/>
  <c r="CA78" i="24" s="1"/>
  <c r="CA79" i="24" s="1"/>
  <c r="CA80" i="24" s="1"/>
  <c r="CA82" i="24" s="1"/>
  <c r="CA83" i="24" s="1"/>
  <c r="CA84" i="24" s="1"/>
  <c r="CA85" i="24" s="1"/>
  <c r="CA86" i="24" s="1"/>
  <c r="CA87" i="24" s="1"/>
  <c r="CA88" i="24" s="1"/>
  <c r="CA89" i="24" s="1"/>
  <c r="CA90" i="24" s="1"/>
  <c r="CA91" i="24" s="1"/>
  <c r="CA92" i="24" s="1"/>
  <c r="CA93" i="24" s="1"/>
  <c r="CA95" i="24" s="1"/>
  <c r="CA96" i="24" s="1"/>
  <c r="CA97" i="24" s="1"/>
  <c r="CA98" i="24" s="1"/>
  <c r="CA99" i="24" s="1"/>
  <c r="CA100" i="24" s="1"/>
  <c r="CA101" i="24" s="1"/>
  <c r="CA102" i="24" s="1"/>
  <c r="CA103" i="24" s="1"/>
  <c r="CA104" i="24" s="1"/>
  <c r="CA105" i="24" s="1"/>
  <c r="CA106" i="24" s="1"/>
  <c r="CA108" i="24" s="1"/>
  <c r="CA109" i="24" s="1"/>
  <c r="CA110" i="24" s="1"/>
  <c r="CA111" i="24" s="1"/>
  <c r="CA112" i="24" s="1"/>
  <c r="CA113" i="24" s="1"/>
  <c r="CA114" i="24" s="1"/>
  <c r="CA115" i="24" s="1"/>
  <c r="CA116" i="24" s="1"/>
  <c r="CA117" i="24" s="1"/>
  <c r="CA118" i="24" s="1"/>
  <c r="CA119" i="24" s="1"/>
  <c r="CA121" i="24" s="1"/>
  <c r="CA122" i="24" s="1"/>
  <c r="CA123" i="24" s="1"/>
  <c r="CA124" i="24" s="1"/>
  <c r="CA125" i="24" s="1"/>
  <c r="CA126" i="24" s="1"/>
  <c r="CA127" i="24" s="1"/>
  <c r="CA128" i="24" s="1"/>
  <c r="CA129" i="24" s="1"/>
  <c r="CA130" i="24" s="1"/>
  <c r="CA131" i="24" s="1"/>
  <c r="CA132" i="24" s="1"/>
  <c r="CA134" i="24" s="1"/>
  <c r="CA135" i="24" s="1"/>
  <c r="CA136" i="24" s="1"/>
  <c r="CA137" i="24" s="1"/>
  <c r="CA138" i="24" s="1"/>
  <c r="CA139" i="24" s="1"/>
  <c r="CA140" i="24" s="1"/>
  <c r="CA141" i="24" s="1"/>
  <c r="CA142" i="24" s="1"/>
  <c r="CA143" i="24" s="1"/>
  <c r="CA144" i="24" s="1"/>
  <c r="CA145" i="24" s="1"/>
  <c r="I8" i="24"/>
  <c r="J8" i="24"/>
  <c r="F5" i="24"/>
  <c r="I11" i="24"/>
  <c r="J11" i="24"/>
  <c r="CT68" i="24"/>
  <c r="C93" i="24"/>
  <c r="D90" i="24"/>
  <c r="I12" i="24"/>
  <c r="J12" i="24"/>
  <c r="O6" i="24"/>
  <c r="D157" i="48" l="1"/>
  <c r="A6" i="53"/>
  <c r="F5" i="55"/>
  <c r="F10" i="55" s="1"/>
  <c r="A26" i="60"/>
  <c r="A40" i="60"/>
  <c r="D12" i="55"/>
  <c r="D78" i="48"/>
  <c r="E10" i="55"/>
  <c r="A29" i="57"/>
  <c r="DS25" i="24"/>
  <c r="DX21" i="24" s="1"/>
  <c r="CT147" i="24"/>
  <c r="CW2" i="24"/>
  <c r="CG2" i="24"/>
  <c r="F12" i="24" s="1"/>
  <c r="DP27" i="24"/>
  <c r="DR26" i="24"/>
  <c r="BI2" i="24"/>
  <c r="F9" i="24" s="1"/>
  <c r="CO2" i="24"/>
  <c r="F13" i="24" s="1"/>
  <c r="DA21" i="24"/>
  <c r="DL20" i="24"/>
  <c r="DW20" i="24" s="1"/>
  <c r="DM20" i="24" a="1"/>
  <c r="DM20" i="24" s="1"/>
  <c r="O7" i="24"/>
  <c r="J6" i="24"/>
  <c r="I6" i="24"/>
  <c r="DS26" i="24" l="1"/>
  <c r="DM21" i="24" a="1"/>
  <c r="DM21" i="24" s="1"/>
  <c r="DL21" i="24"/>
  <c r="DA22" i="24"/>
  <c r="O8" i="24"/>
  <c r="DR27" i="24"/>
  <c r="DP28" i="24"/>
  <c r="DW24" i="24"/>
  <c r="DW19" i="24"/>
  <c r="DS27" i="24" l="1"/>
  <c r="DR28" i="24"/>
  <c r="DP33" i="24"/>
  <c r="O9" i="24"/>
  <c r="DL22" i="24"/>
  <c r="DM22" i="24" a="1"/>
  <c r="DM22" i="24" s="1"/>
  <c r="DA23" i="24"/>
  <c r="DL23" i="24" l="1"/>
  <c r="DA24" i="24"/>
  <c r="DM23" i="24" a="1"/>
  <c r="DM23" i="24" s="1"/>
  <c r="DP34" i="24"/>
  <c r="DR33" i="24"/>
  <c r="O10" i="24"/>
  <c r="O11" i="24" l="1"/>
  <c r="O12" i="24" s="1"/>
  <c r="O13" i="24" s="1"/>
  <c r="O14" i="24" s="1"/>
  <c r="O15" i="24" s="1"/>
  <c r="O17" i="24" s="1"/>
  <c r="O18" i="24" s="1"/>
  <c r="O19" i="24" s="1"/>
  <c r="O20" i="24" s="1"/>
  <c r="O21" i="24" s="1"/>
  <c r="O22" i="24" s="1"/>
  <c r="O23" i="24" s="1"/>
  <c r="O24" i="24" s="1"/>
  <c r="O25" i="24" s="1"/>
  <c r="O26" i="24" s="1"/>
  <c r="O27" i="24" s="1"/>
  <c r="O28" i="24" s="1"/>
  <c r="O30" i="24" s="1"/>
  <c r="O31" i="24" s="1"/>
  <c r="O32" i="24" s="1"/>
  <c r="O33" i="24" s="1"/>
  <c r="O34" i="24" s="1"/>
  <c r="O35" i="24" s="1"/>
  <c r="O36" i="24" s="1"/>
  <c r="O37" i="24" s="1"/>
  <c r="O38" i="24" s="1"/>
  <c r="O39" i="24" s="1"/>
  <c r="O40" i="24" s="1"/>
  <c r="O41" i="24" s="1"/>
  <c r="O43" i="24" s="1"/>
  <c r="O44" i="24" s="1"/>
  <c r="O45" i="24" s="1"/>
  <c r="O46" i="24" s="1"/>
  <c r="O47" i="24" s="1"/>
  <c r="O48" i="24" s="1"/>
  <c r="O49" i="24" s="1"/>
  <c r="O50" i="24" s="1"/>
  <c r="O51" i="24" s="1"/>
  <c r="O52" i="24" s="1"/>
  <c r="O53" i="24" s="1"/>
  <c r="O54" i="24" s="1"/>
  <c r="O56" i="24" s="1"/>
  <c r="O57" i="24" s="1"/>
  <c r="O58" i="24" s="1"/>
  <c r="O59" i="24" s="1"/>
  <c r="O60" i="24" s="1"/>
  <c r="O61" i="24" s="1"/>
  <c r="O62" i="24" s="1"/>
  <c r="O63" i="24" s="1"/>
  <c r="O64" i="24" s="1"/>
  <c r="O65" i="24" s="1"/>
  <c r="O66" i="24" s="1"/>
  <c r="O67" i="24" s="1"/>
  <c r="O69" i="24" s="1"/>
  <c r="O70" i="24" s="1"/>
  <c r="O71" i="24" s="1"/>
  <c r="O72" i="24" s="1"/>
  <c r="O73" i="24" s="1"/>
  <c r="O74" i="24" s="1"/>
  <c r="O75" i="24" s="1"/>
  <c r="O76" i="24" s="1"/>
  <c r="O77" i="24" s="1"/>
  <c r="O78" i="24" s="1"/>
  <c r="O79" i="24" s="1"/>
  <c r="O80" i="24" s="1"/>
  <c r="O82" i="24" s="1"/>
  <c r="O83" i="24" s="1"/>
  <c r="O84" i="24" s="1"/>
  <c r="O85" i="24" s="1"/>
  <c r="O86" i="24" s="1"/>
  <c r="O87" i="24" s="1"/>
  <c r="O88" i="24" s="1"/>
  <c r="O89" i="24" s="1"/>
  <c r="O90" i="24" s="1"/>
  <c r="O91" i="24" s="1"/>
  <c r="O92" i="24" s="1"/>
  <c r="O93" i="24" s="1"/>
  <c r="O95" i="24" s="1"/>
  <c r="O96" i="24" s="1"/>
  <c r="O97" i="24" s="1"/>
  <c r="O98" i="24" s="1"/>
  <c r="O99" i="24" s="1"/>
  <c r="O100" i="24" s="1"/>
  <c r="O101" i="24" s="1"/>
  <c r="O102" i="24" s="1"/>
  <c r="O103" i="24" s="1"/>
  <c r="O104" i="24" s="1"/>
  <c r="O105" i="24" s="1"/>
  <c r="O106" i="24" s="1"/>
  <c r="O108" i="24" s="1"/>
  <c r="O109" i="24" s="1"/>
  <c r="O110" i="24" s="1"/>
  <c r="O111" i="24" s="1"/>
  <c r="O112" i="24" s="1"/>
  <c r="O113" i="24" s="1"/>
  <c r="O114" i="24" s="1"/>
  <c r="O115" i="24" s="1"/>
  <c r="O116" i="24" s="1"/>
  <c r="O117" i="24" s="1"/>
  <c r="O118" i="24" s="1"/>
  <c r="O119" i="24" s="1"/>
  <c r="O121" i="24" s="1"/>
  <c r="O122" i="24" s="1"/>
  <c r="O123" i="24" s="1"/>
  <c r="O124" i="24" s="1"/>
  <c r="O125" i="24" s="1"/>
  <c r="O126" i="24" s="1"/>
  <c r="O127" i="24" s="1"/>
  <c r="O128" i="24" s="1"/>
  <c r="O129" i="24" s="1"/>
  <c r="O130" i="24" s="1"/>
  <c r="O131" i="24" s="1"/>
  <c r="O132" i="24" s="1"/>
  <c r="O134" i="24" s="1"/>
  <c r="O135" i="24" s="1"/>
  <c r="O136" i="24" s="1"/>
  <c r="O137" i="24" s="1"/>
  <c r="O138" i="24" s="1"/>
  <c r="O139" i="24" s="1"/>
  <c r="O140" i="24" s="1"/>
  <c r="O141" i="24" s="1"/>
  <c r="O142" i="24" s="1"/>
  <c r="O143" i="24" s="1"/>
  <c r="O144" i="24" s="1"/>
  <c r="O145" i="24" s="1"/>
  <c r="DA25" i="24"/>
  <c r="DL24" i="24"/>
  <c r="DM24" i="24" a="1"/>
  <c r="DM24" i="24" s="1"/>
  <c r="DP35" i="24"/>
  <c r="DR34" i="24"/>
  <c r="E4" i="24" l="1"/>
  <c r="E14" i="24" s="1"/>
  <c r="U2" i="24"/>
  <c r="DM25" i="24" a="1"/>
  <c r="DM25" i="24" s="1"/>
  <c r="DA26" i="24"/>
  <c r="DL25" i="24"/>
  <c r="DR35" i="24"/>
  <c r="DP36" i="24"/>
  <c r="O1" i="24"/>
  <c r="J4" i="24" l="1"/>
  <c r="I4" i="24"/>
  <c r="N6" i="24"/>
  <c r="F4" i="24"/>
  <c r="F14" i="24" s="1"/>
  <c r="DA27" i="24"/>
  <c r="DM26" i="24" a="1"/>
  <c r="DM26" i="24" s="1"/>
  <c r="DL26" i="24"/>
  <c r="DR36" i="24"/>
  <c r="DP37" i="24"/>
  <c r="J14" i="24"/>
  <c r="I14" i="24"/>
  <c r="F16" i="24" l="1"/>
  <c r="DR37" i="24"/>
  <c r="DP38" i="24"/>
  <c r="DA28" i="24"/>
  <c r="DM27" i="24" a="1"/>
  <c r="DM27" i="24" s="1"/>
  <c r="DL27" i="24"/>
  <c r="DR38" i="24" l="1"/>
  <c r="DP39" i="24"/>
  <c r="DM28" i="24" a="1"/>
  <c r="DM28" i="24" s="1"/>
  <c r="DO28" i="24" s="1"/>
  <c r="DL28" i="24"/>
  <c r="DA29" i="24" l="1"/>
  <c r="DB29" i="24"/>
  <c r="DC29" i="24"/>
  <c r="DS28" i="24"/>
  <c r="DP40" i="24"/>
  <c r="DR40" i="24" s="1"/>
  <c r="DR39" i="24"/>
  <c r="DM29" i="24" l="1" a="1"/>
  <c r="DM29" i="24" s="1"/>
  <c r="DO29" i="24" s="1"/>
  <c r="DL29" i="24"/>
  <c r="DB30" i="24" l="1"/>
  <c r="DC30" i="24"/>
  <c r="DA30" i="24"/>
  <c r="DS29" i="24"/>
  <c r="DM30" i="24" l="1" a="1"/>
  <c r="DM30" i="24" s="1"/>
  <c r="DO30" i="24" s="1"/>
  <c r="DL30" i="24"/>
  <c r="DA31" i="24" l="1"/>
  <c r="DC31" i="24"/>
  <c r="DB31" i="24"/>
  <c r="DM31" i="24" l="1" a="1"/>
  <c r="DM31" i="24" s="1"/>
  <c r="DO31" i="24" s="1"/>
  <c r="DL31" i="24"/>
  <c r="DB32" i="24" l="1"/>
  <c r="DA32" i="24"/>
  <c r="DC32" i="24"/>
  <c r="DS31" i="24"/>
  <c r="DL32" i="24" l="1"/>
  <c r="DM32" i="24" a="1"/>
  <c r="DM32" i="24" s="1"/>
  <c r="DO32" i="24" s="1"/>
  <c r="DB33" i="24" l="1"/>
  <c r="DA33" i="24"/>
  <c r="DC33" i="24"/>
  <c r="DS32" i="24"/>
  <c r="DY21" i="24" l="1"/>
  <c r="DL33" i="24"/>
  <c r="DX20" i="24" s="1"/>
  <c r="DM33" i="24" a="1"/>
  <c r="DM33" i="24" s="1"/>
  <c r="DO33" i="24" s="1"/>
  <c r="DB34" i="24" l="1"/>
  <c r="DC34" i="24"/>
  <c r="DA34" i="24"/>
  <c r="DS33" i="24"/>
  <c r="DX19" i="24"/>
  <c r="DX24" i="24"/>
  <c r="DM34" i="24" l="1" a="1"/>
  <c r="DM34" i="24" s="1"/>
  <c r="DO34" i="24" s="1"/>
  <c r="DL34" i="24"/>
  <c r="DC35" i="24" l="1"/>
  <c r="DA35" i="24"/>
  <c r="DB35" i="24"/>
  <c r="DS34" i="24"/>
  <c r="DM35" i="24" l="1" a="1"/>
  <c r="DM35" i="24" s="1"/>
  <c r="DO35" i="24" s="1"/>
  <c r="DL35" i="24"/>
  <c r="DB36" i="24" l="1"/>
  <c r="DA36" i="24"/>
  <c r="DC36" i="24"/>
  <c r="DS35" i="24"/>
  <c r="DL36" i="24" l="1"/>
  <c r="DY20" i="24" s="1"/>
  <c r="DM36" i="24" a="1"/>
  <c r="DM36" i="24" s="1"/>
  <c r="DO36" i="24" s="1"/>
  <c r="DC37" i="24" l="1"/>
  <c r="DA37" i="24"/>
  <c r="DB37" i="24"/>
  <c r="DS36" i="24"/>
  <c r="DY19" i="24"/>
  <c r="DY24" i="24"/>
  <c r="DM37" i="24" l="1" a="1"/>
  <c r="DM37" i="24" s="1"/>
  <c r="DO37" i="24" s="1"/>
  <c r="DL37" i="24"/>
  <c r="DA38" i="24" l="1"/>
  <c r="DC38" i="24"/>
  <c r="DB38" i="24"/>
  <c r="DS37" i="24"/>
  <c r="DM38" i="24" l="1" a="1"/>
  <c r="DM38" i="24" s="1"/>
  <c r="DO38" i="24" s="1"/>
  <c r="DL38" i="24"/>
  <c r="DB39" i="24" l="1"/>
  <c r="DC39" i="24"/>
  <c r="DA39" i="24"/>
  <c r="DS38" i="24"/>
  <c r="EC21" i="24" l="1"/>
  <c r="DL39" i="24"/>
  <c r="DM39" i="24" a="1"/>
  <c r="DM39" i="24" s="1"/>
  <c r="DO39" i="24" s="1"/>
  <c r="DB40" i="24" l="1"/>
  <c r="DC40" i="24"/>
  <c r="DA40" i="24"/>
  <c r="DS39" i="24"/>
  <c r="DL40" i="24" l="1"/>
  <c r="EC20" i="24" s="1"/>
  <c r="DM40" i="24" a="1"/>
  <c r="DM40" i="24" s="1"/>
  <c r="DO40" i="24" s="1"/>
  <c r="DC41" i="24" l="1"/>
  <c r="DA41" i="24"/>
  <c r="DB41" i="24"/>
  <c r="DS40" i="24"/>
  <c r="EC24" i="24"/>
  <c r="EC19" i="24"/>
  <c r="DM41" i="24" l="1" a="1"/>
  <c r="DM41" i="24" s="1"/>
  <c r="DO41" i="24" s="1"/>
  <c r="DL41" i="24"/>
  <c r="DB42" i="24" l="1"/>
  <c r="DA42" i="24"/>
  <c r="DC42" i="24"/>
  <c r="DS41" i="24"/>
  <c r="DL42" i="24" l="1"/>
  <c r="DM42" i="24" a="1"/>
  <c r="DM42" i="24" s="1"/>
  <c r="DO42" i="24" s="1"/>
  <c r="DC43" i="24" l="1"/>
  <c r="DA43" i="24"/>
  <c r="DB43" i="24"/>
  <c r="DS42" i="24"/>
  <c r="DM43" i="24" l="1" a="1"/>
  <c r="DM43" i="24" s="1"/>
  <c r="DO43" i="24" s="1"/>
  <c r="DL43" i="24"/>
  <c r="DS43" i="24"/>
  <c r="DB44" i="24" l="1"/>
  <c r="DA44" i="24"/>
  <c r="DC44" i="24"/>
  <c r="DL44" i="24" l="1"/>
  <c r="DM44" i="24" a="1"/>
  <c r="DM44" i="24" s="1"/>
  <c r="DO44" i="24" s="1"/>
  <c r="DB45" i="24" l="1"/>
  <c r="DC45" i="24"/>
  <c r="DA45" i="24"/>
  <c r="DL45" i="24" l="1"/>
  <c r="DM45" i="24" a="1"/>
  <c r="DM45" i="24" s="1"/>
  <c r="DO45" i="24" s="1"/>
  <c r="DA46" i="24" l="1"/>
  <c r="DC46" i="24"/>
  <c r="DB46" i="24"/>
  <c r="DM46" i="24" l="1" a="1"/>
  <c r="DM46" i="24" s="1"/>
  <c r="DO46" i="24" s="1"/>
  <c r="DL46" i="24"/>
  <c r="DA47" i="24" l="1"/>
  <c r="DC47" i="24"/>
  <c r="DB47" i="24"/>
  <c r="DM47" i="24" l="1" a="1"/>
  <c r="DM47" i="24" s="1"/>
  <c r="DO47" i="24" s="1"/>
  <c r="DL47" i="24"/>
  <c r="DA48" i="24" l="1"/>
  <c r="DC48" i="24"/>
  <c r="DB48" i="24"/>
  <c r="DM48" i="24" l="1" a="1"/>
  <c r="DM48" i="24" s="1"/>
  <c r="DO48" i="24" s="1"/>
  <c r="DL48" i="24"/>
  <c r="DA49" i="24" l="1"/>
  <c r="DC49" i="24"/>
  <c r="DB49" i="24"/>
  <c r="DM49" i="24" l="1" a="1"/>
  <c r="DM49" i="24" s="1"/>
  <c r="DO49" i="24" s="1"/>
  <c r="DL49" i="24"/>
  <c r="DB50" i="24" l="1"/>
  <c r="DC50" i="24"/>
  <c r="DA50" i="24"/>
  <c r="DL50" i="24" l="1"/>
  <c r="DM50" i="24" a="1"/>
  <c r="DM50" i="24" s="1"/>
  <c r="DO50" i="24" s="1"/>
  <c r="DB51" i="24" l="1"/>
  <c r="DA51" i="24"/>
  <c r="DC51" i="24"/>
  <c r="DL51" i="24" l="1"/>
  <c r="DM51" i="24" a="1"/>
  <c r="DM51" i="24" s="1"/>
  <c r="DO51" i="24" s="1"/>
  <c r="DA52" i="24" l="1"/>
  <c r="DC52" i="24"/>
  <c r="DB52" i="24"/>
  <c r="DM52" i="24" l="1" a="1"/>
  <c r="DM52" i="24" s="1"/>
  <c r="DO52" i="24" s="1"/>
  <c r="DL52" i="24"/>
  <c r="DA53" i="24" l="1"/>
  <c r="DC53" i="24"/>
  <c r="DB53" i="24"/>
  <c r="DM53" i="24" l="1" a="1"/>
  <c r="DM53" i="24" s="1"/>
  <c r="DO53" i="24" s="1"/>
  <c r="DL53" i="24"/>
  <c r="DA54" i="24" l="1"/>
  <c r="DC54" i="24"/>
  <c r="DB54" i="24"/>
  <c r="DM54" i="24" l="1" a="1"/>
  <c r="DM54" i="24" s="1"/>
  <c r="DO54" i="24" s="1"/>
  <c r="DL54" i="24"/>
  <c r="DB55" i="24" l="1"/>
  <c r="DC55" i="24"/>
  <c r="DA55" i="24"/>
  <c r="DL55" i="24" l="1"/>
  <c r="DM55" i="24" a="1"/>
  <c r="DM55" i="24" s="1"/>
  <c r="DO55" i="24" s="1"/>
  <c r="DB56" i="24" l="1"/>
  <c r="DC56" i="24"/>
  <c r="DA56" i="24"/>
  <c r="DL56" i="24" l="1"/>
  <c r="DM56" i="24" a="1"/>
  <c r="DM56" i="24" s="1"/>
  <c r="DO56" i="24" s="1"/>
  <c r="DA57" i="24" l="1"/>
  <c r="DC57" i="24"/>
  <c r="DB57" i="24"/>
  <c r="DM57" i="24" l="1" a="1"/>
  <c r="DM57" i="24" s="1"/>
  <c r="DO57" i="24" s="1"/>
  <c r="DL57" i="24"/>
  <c r="DB58" i="24" l="1"/>
  <c r="DA58" i="24"/>
  <c r="DC58" i="24"/>
  <c r="DL58" i="24" l="1"/>
  <c r="DM58" i="24" a="1"/>
  <c r="DM58" i="24" s="1"/>
  <c r="DO58" i="24" s="1"/>
  <c r="DB59" i="24" l="1"/>
  <c r="DA59" i="24"/>
  <c r="DC59" i="24"/>
  <c r="DL59" i="24" l="1"/>
  <c r="DM59" i="24" a="1"/>
  <c r="DM59" i="24" s="1"/>
  <c r="DO59" i="24" s="1"/>
  <c r="DB60" i="24" l="1"/>
  <c r="DC60" i="24"/>
  <c r="DA60" i="24"/>
  <c r="DL60" i="24" l="1"/>
  <c r="DM60" i="24" a="1"/>
  <c r="DM60" i="24" s="1"/>
  <c r="DO60" i="24" s="1"/>
  <c r="DB61" i="24" l="1"/>
  <c r="DC61" i="24"/>
  <c r="DA61" i="24"/>
  <c r="DL61" i="24" l="1"/>
  <c r="DM61" i="24" a="1"/>
  <c r="DM61" i="24" s="1"/>
  <c r="DO61" i="24" s="1"/>
  <c r="DA62" i="24" l="1"/>
  <c r="DC62" i="24"/>
  <c r="DB62" i="24"/>
  <c r="DM62" i="24" l="1" a="1"/>
  <c r="DM62" i="24" s="1"/>
  <c r="DO62" i="24" s="1"/>
  <c r="DL62" i="24"/>
  <c r="DA63" i="24" l="1"/>
  <c r="DC63" i="24"/>
  <c r="DB63" i="24"/>
  <c r="DM63" i="24" l="1" a="1"/>
  <c r="DM63" i="24" s="1"/>
  <c r="DO63" i="24" s="1"/>
  <c r="DL63" i="24"/>
  <c r="DB64" i="24" l="1"/>
  <c r="DC64" i="24"/>
  <c r="DA64" i="24"/>
  <c r="DL64" i="24" l="1"/>
  <c r="DM64" i="24" a="1"/>
  <c r="DM64" i="24" s="1"/>
  <c r="DO64" i="24" s="1"/>
  <c r="DB65" i="24" l="1"/>
  <c r="DC65" i="24"/>
  <c r="DA65" i="24"/>
  <c r="DL65" i="24" l="1"/>
  <c r="DM65" i="24" a="1"/>
  <c r="DM65" i="24" s="1"/>
  <c r="DO65" i="24" s="1"/>
  <c r="DB66" i="24" l="1"/>
  <c r="DA66" i="24"/>
  <c r="DC66" i="24"/>
  <c r="DL66" i="24" l="1"/>
  <c r="DM66" i="24" a="1"/>
  <c r="DM66" i="24" s="1"/>
  <c r="DO66" i="24" s="1"/>
  <c r="DB67" i="24" l="1"/>
  <c r="DA67" i="24"/>
  <c r="DC67" i="24"/>
  <c r="DL67" i="24" l="1"/>
  <c r="DM67" i="24" a="1"/>
  <c r="DM67" i="24" s="1"/>
  <c r="DO67" i="24" s="1"/>
  <c r="DB68" i="24" l="1"/>
  <c r="DA68" i="24"/>
  <c r="DC68" i="24"/>
  <c r="DL68" i="24" l="1"/>
  <c r="DM68" i="24" a="1"/>
  <c r="DM68" i="24" s="1"/>
  <c r="DO68" i="24" s="1"/>
  <c r="DC69" i="24" l="1"/>
  <c r="DA69" i="24"/>
  <c r="DB69" i="24"/>
  <c r="DM69" i="24" l="1" a="1"/>
  <c r="DM69" i="24" s="1"/>
  <c r="DO69" i="24" s="1"/>
  <c r="DL69" i="24"/>
  <c r="DA70" i="24" l="1"/>
  <c r="DC70" i="24"/>
  <c r="DB70" i="24"/>
  <c r="DM70" i="24" l="1" a="1"/>
  <c r="DM70" i="24" s="1"/>
  <c r="DO70" i="24" s="1"/>
  <c r="DL70" i="24"/>
  <c r="DA71" i="24" l="1"/>
  <c r="DC71" i="24"/>
  <c r="DB71" i="24"/>
  <c r="DM71" i="24" l="1" a="1"/>
  <c r="DM71" i="24" s="1"/>
  <c r="DO71" i="24" s="1"/>
  <c r="DL71" i="24"/>
  <c r="DA72" i="24" l="1"/>
  <c r="DC72" i="24"/>
  <c r="DB72" i="24"/>
  <c r="DM72" i="24" l="1" a="1"/>
  <c r="DM72" i="24" s="1"/>
  <c r="DO72" i="24" s="1"/>
  <c r="DL72" i="24"/>
  <c r="DA73" i="24" l="1"/>
  <c r="DC73" i="24"/>
  <c r="DB73" i="24"/>
  <c r="DM73" i="24" l="1" a="1"/>
  <c r="DM73" i="24" s="1"/>
  <c r="DO73" i="24" s="1"/>
  <c r="DL73" i="24"/>
  <c r="DB74" i="24" l="1"/>
  <c r="DC74" i="24"/>
  <c r="DA74" i="24"/>
  <c r="DL74" i="24" l="1"/>
  <c r="DM74" i="24" a="1"/>
  <c r="DM74" i="24" s="1"/>
  <c r="DO74" i="24" s="1"/>
  <c r="DB75" i="24" l="1"/>
  <c r="DA75" i="24"/>
  <c r="DC75" i="24"/>
  <c r="DL75" i="24" l="1"/>
  <c r="DM75" i="24" a="1"/>
  <c r="DM75" i="24" s="1"/>
  <c r="DO75" i="24" s="1"/>
  <c r="DA76" i="24" l="1"/>
  <c r="DC76" i="24"/>
  <c r="DB76" i="24"/>
  <c r="DM76" i="24" l="1" a="1"/>
  <c r="DM76" i="24" s="1"/>
  <c r="DO76" i="24" s="1"/>
  <c r="DL76" i="24"/>
  <c r="DA77" i="24" l="1"/>
  <c r="DC77" i="24"/>
  <c r="DB77" i="24"/>
  <c r="DM77" i="24" l="1" a="1"/>
  <c r="DM77" i="24" s="1"/>
  <c r="DO77" i="24" s="1"/>
  <c r="DL77" i="24"/>
  <c r="DA78" i="24" l="1"/>
  <c r="DC78" i="24"/>
  <c r="DB78" i="24"/>
  <c r="DM78" i="24" l="1" a="1"/>
  <c r="DM78" i="24" s="1"/>
  <c r="DO78" i="24" s="1"/>
  <c r="DL78" i="24"/>
  <c r="DA79" i="24" l="1"/>
  <c r="DC79" i="24"/>
  <c r="DB79" i="24"/>
  <c r="DM79" i="24" l="1" a="1"/>
  <c r="DM79" i="24" s="1"/>
  <c r="DO79" i="24" s="1"/>
  <c r="DL79" i="24"/>
  <c r="DB80" i="24" l="1"/>
  <c r="DA80" i="24"/>
  <c r="DC80" i="24"/>
  <c r="DL80" i="24" l="1"/>
  <c r="DM80" i="24" a="1"/>
  <c r="DM80" i="24" s="1"/>
  <c r="DO80" i="24" s="1"/>
  <c r="DA81" i="24" l="1"/>
  <c r="DB81" i="24"/>
  <c r="DC81" i="24"/>
  <c r="DM81" i="24" l="1" a="1"/>
  <c r="DM81" i="24" s="1"/>
  <c r="DO81" i="24" s="1"/>
  <c r="DL81" i="24"/>
  <c r="DC82" i="24" l="1"/>
  <c r="DB82" i="24"/>
  <c r="DA82" i="24"/>
  <c r="DM82" i="24" l="1" a="1"/>
  <c r="DM82" i="24" s="1"/>
  <c r="DO82" i="24" s="1"/>
  <c r="DL82" i="24"/>
  <c r="C15" i="24" l="1"/>
  <c r="E15" i="24" l="1"/>
  <c r="C16" i="24"/>
  <c r="I15" i="24" l="1"/>
  <c r="J15" i="24"/>
  <c r="E16" i="24"/>
  <c r="J16" i="24" l="1"/>
  <c r="I16" i="24"/>
  <c r="J133" i="21" l="1"/>
  <c r="J134" i="21"/>
  <c r="J135" i="21"/>
  <c r="J136" i="21"/>
  <c r="J137" i="21"/>
  <c r="J138" i="21"/>
  <c r="J139" i="21"/>
  <c r="J140" i="21"/>
  <c r="J141" i="21"/>
  <c r="J142" i="21"/>
  <c r="J143" i="21"/>
  <c r="J144" i="21"/>
  <c r="J145" i="21"/>
  <c r="J146" i="21"/>
  <c r="J147" i="21"/>
  <c r="J148" i="21"/>
  <c r="J149" i="21"/>
  <c r="J150" i="21"/>
  <c r="J151" i="21"/>
  <c r="J152" i="21"/>
  <c r="J153" i="21"/>
  <c r="J154" i="21"/>
  <c r="J155" i="21"/>
  <c r="J156" i="21"/>
  <c r="I499" i="21" l="1"/>
  <c r="J408" i="21"/>
  <c r="J419" i="21"/>
  <c r="J431" i="21"/>
  <c r="J442" i="21"/>
  <c r="J453" i="21"/>
  <c r="J465" i="21"/>
  <c r="J476" i="21"/>
  <c r="J487" i="21"/>
  <c r="J499" i="21"/>
  <c r="J132" i="21"/>
  <c r="J131" i="21"/>
  <c r="J130" i="21"/>
  <c r="J129" i="21"/>
  <c r="J454" i="21" l="1"/>
  <c r="J488" i="21"/>
  <c r="O501" i="21" l="1"/>
  <c r="O502" i="21"/>
  <c r="O503" i="21"/>
  <c r="O504" i="21"/>
  <c r="O505" i="21"/>
  <c r="O506" i="21"/>
  <c r="O507" i="21"/>
  <c r="O508" i="21"/>
  <c r="O509" i="21"/>
  <c r="O490" i="21"/>
  <c r="O491" i="21"/>
  <c r="O492" i="21"/>
  <c r="O493" i="21"/>
  <c r="O494" i="21"/>
  <c r="O495" i="21"/>
  <c r="O496" i="21"/>
  <c r="O497" i="21"/>
  <c r="O498" i="21"/>
  <c r="O489" i="21"/>
  <c r="O106" i="21"/>
  <c r="O107" i="21"/>
  <c r="O108" i="21"/>
  <c r="O109" i="21"/>
  <c r="O110" i="21"/>
  <c r="O111" i="21"/>
  <c r="O112" i="21"/>
  <c r="O113" i="21"/>
  <c r="O114" i="21"/>
  <c r="O105" i="21"/>
  <c r="O117" i="21"/>
  <c r="O118" i="21"/>
  <c r="O119" i="21"/>
  <c r="O120" i="21"/>
  <c r="O121" i="21"/>
  <c r="O122" i="21"/>
  <c r="O123" i="21"/>
  <c r="O124" i="21"/>
  <c r="O125" i="21"/>
  <c r="O116" i="21"/>
  <c r="O72" i="21"/>
  <c r="O73" i="21"/>
  <c r="O74" i="21"/>
  <c r="O75" i="21"/>
  <c r="O76" i="21"/>
  <c r="O77" i="21"/>
  <c r="O78" i="21"/>
  <c r="O79" i="21"/>
  <c r="O80" i="21"/>
  <c r="O82" i="21"/>
  <c r="O83" i="21"/>
  <c r="O84" i="21"/>
  <c r="O85" i="21"/>
  <c r="O86" i="21"/>
  <c r="O87" i="21"/>
  <c r="O88" i="21"/>
  <c r="O89" i="21"/>
  <c r="O90" i="21"/>
  <c r="O91" i="21"/>
  <c r="O93" i="21"/>
  <c r="O94" i="21"/>
  <c r="O95" i="21"/>
  <c r="O96" i="21"/>
  <c r="O97" i="21"/>
  <c r="O98" i="21"/>
  <c r="O99" i="21"/>
  <c r="O100" i="21"/>
  <c r="O101" i="21"/>
  <c r="O102" i="21"/>
  <c r="O130" i="21"/>
  <c r="P130" i="21" s="1"/>
  <c r="Q130" i="21" s="1"/>
  <c r="O131" i="21"/>
  <c r="P131" i="21" s="1"/>
  <c r="Q131" i="21" s="1"/>
  <c r="O132" i="21"/>
  <c r="P132" i="21" s="1"/>
  <c r="Q132" i="21" s="1"/>
  <c r="O133" i="21"/>
  <c r="P133" i="21" s="1"/>
  <c r="Q133" i="21" s="1"/>
  <c r="O134" i="21"/>
  <c r="O135" i="21"/>
  <c r="P135" i="21" s="1"/>
  <c r="Q135" i="21" s="1"/>
  <c r="O136" i="21"/>
  <c r="P136" i="21" s="1"/>
  <c r="Q136" i="21" s="1"/>
  <c r="O137" i="21"/>
  <c r="P137" i="21" s="1"/>
  <c r="Q137" i="21" s="1"/>
  <c r="O138" i="21"/>
  <c r="P138" i="21" s="1"/>
  <c r="Q138" i="21" s="1"/>
  <c r="O139" i="21"/>
  <c r="P139" i="21" s="1"/>
  <c r="Q139" i="21" s="1"/>
  <c r="O140" i="21"/>
  <c r="P140" i="21" s="1"/>
  <c r="Q140" i="21" s="1"/>
  <c r="O141" i="21"/>
  <c r="P141" i="21" s="1"/>
  <c r="Q141" i="21" s="1"/>
  <c r="O142" i="21"/>
  <c r="P142" i="21" s="1"/>
  <c r="Q142" i="21" s="1"/>
  <c r="O143" i="21"/>
  <c r="P143" i="21" s="1"/>
  <c r="Q143" i="21" s="1"/>
  <c r="O144" i="21"/>
  <c r="P144" i="21" s="1"/>
  <c r="Q144" i="21" s="1"/>
  <c r="O145" i="21"/>
  <c r="P145" i="21" s="1"/>
  <c r="Q145" i="21" s="1"/>
  <c r="O146" i="21"/>
  <c r="P146" i="21" s="1"/>
  <c r="Q146" i="21" s="1"/>
  <c r="O147" i="21"/>
  <c r="P147" i="21" s="1"/>
  <c r="Q147" i="21" s="1"/>
  <c r="O148" i="21"/>
  <c r="P148" i="21" s="1"/>
  <c r="Q148" i="21" s="1"/>
  <c r="O149" i="21"/>
  <c r="P149" i="21" s="1"/>
  <c r="Q149" i="21" s="1"/>
  <c r="O150" i="21"/>
  <c r="P150" i="21" s="1"/>
  <c r="Q150" i="21" s="1"/>
  <c r="O151" i="21"/>
  <c r="P151" i="21" s="1"/>
  <c r="Q151" i="21" s="1"/>
  <c r="O152" i="21"/>
  <c r="P152" i="21" s="1"/>
  <c r="Q152" i="21" s="1"/>
  <c r="O153" i="21"/>
  <c r="P153" i="21" s="1"/>
  <c r="Q153" i="21" s="1"/>
  <c r="O154" i="21"/>
  <c r="P154" i="21" s="1"/>
  <c r="Q154" i="21" s="1"/>
  <c r="O155" i="21"/>
  <c r="P155" i="21" s="1"/>
  <c r="Q155" i="21" s="1"/>
  <c r="O156" i="21"/>
  <c r="P156" i="21" s="1"/>
  <c r="Q156" i="21" s="1"/>
  <c r="O158" i="21"/>
  <c r="O159" i="21"/>
  <c r="O160" i="21"/>
  <c r="O161" i="21"/>
  <c r="O162" i="21"/>
  <c r="O163" i="21"/>
  <c r="O164" i="21"/>
  <c r="O165" i="21"/>
  <c r="O166" i="21"/>
  <c r="O167" i="21"/>
  <c r="O168" i="21"/>
  <c r="O169" i="21"/>
  <c r="O171" i="21"/>
  <c r="O172" i="21"/>
  <c r="O173" i="21"/>
  <c r="O174" i="21"/>
  <c r="O175" i="21"/>
  <c r="O176" i="21"/>
  <c r="O177" i="21"/>
  <c r="O178" i="21"/>
  <c r="O179" i="21"/>
  <c r="O180" i="21"/>
  <c r="O181" i="21"/>
  <c r="O182" i="21"/>
  <c r="O183" i="21"/>
  <c r="O184" i="21"/>
  <c r="O185" i="21"/>
  <c r="O186" i="21"/>
  <c r="O187" i="21"/>
  <c r="O188" i="21"/>
  <c r="O189" i="21"/>
  <c r="O195" i="21"/>
  <c r="O196" i="21"/>
  <c r="O197" i="21"/>
  <c r="O198" i="21"/>
  <c r="O199" i="21"/>
  <c r="O200" i="21"/>
  <c r="O201" i="21"/>
  <c r="O202" i="21"/>
  <c r="O203" i="21"/>
  <c r="O204" i="21"/>
  <c r="O205" i="21"/>
  <c r="O206" i="21"/>
  <c r="O207" i="21"/>
  <c r="O208" i="21"/>
  <c r="O209" i="21"/>
  <c r="O210" i="21"/>
  <c r="O211" i="21"/>
  <c r="O212" i="21"/>
  <c r="O213" i="21"/>
  <c r="O214" i="21"/>
  <c r="O215" i="21"/>
  <c r="O216" i="21"/>
  <c r="O217" i="21"/>
  <c r="O218" i="21"/>
  <c r="O219" i="21"/>
  <c r="O220" i="21"/>
  <c r="O221" i="21"/>
  <c r="O222" i="21"/>
  <c r="O224" i="21"/>
  <c r="O225" i="21"/>
  <c r="O226" i="21"/>
  <c r="O227" i="21"/>
  <c r="O228" i="21"/>
  <c r="O229" i="21"/>
  <c r="O230" i="21"/>
  <c r="O231" i="21"/>
  <c r="O232" i="21"/>
  <c r="O233" i="21"/>
  <c r="O234" i="21"/>
  <c r="O235" i="21"/>
  <c r="O237" i="21"/>
  <c r="O238" i="21"/>
  <c r="O239" i="21"/>
  <c r="O240" i="21"/>
  <c r="O241" i="21"/>
  <c r="O242" i="21"/>
  <c r="O243" i="21"/>
  <c r="O244" i="21"/>
  <c r="O245" i="21"/>
  <c r="O246" i="21"/>
  <c r="O247" i="21"/>
  <c r="O248" i="21"/>
  <c r="O249" i="21"/>
  <c r="O250" i="21"/>
  <c r="O251" i="21"/>
  <c r="O252" i="21"/>
  <c r="O253" i="21"/>
  <c r="O254" i="21"/>
  <c r="O255" i="21"/>
  <c r="O261" i="21"/>
  <c r="O262" i="21"/>
  <c r="O263" i="21"/>
  <c r="O264" i="21"/>
  <c r="O265" i="21"/>
  <c r="O266" i="21"/>
  <c r="O267" i="21"/>
  <c r="O268" i="21"/>
  <c r="O269" i="21"/>
  <c r="O270" i="21"/>
  <c r="O272" i="21"/>
  <c r="O273" i="21"/>
  <c r="O274" i="21"/>
  <c r="O275" i="21"/>
  <c r="O276" i="21"/>
  <c r="O277" i="21"/>
  <c r="O278" i="21"/>
  <c r="O279" i="21"/>
  <c r="O280" i="21"/>
  <c r="O281" i="21"/>
  <c r="O283" i="21"/>
  <c r="O284" i="21"/>
  <c r="O285" i="21"/>
  <c r="O286" i="21"/>
  <c r="O287" i="21"/>
  <c r="O288" i="21"/>
  <c r="O289" i="21"/>
  <c r="O290" i="21"/>
  <c r="O291" i="21"/>
  <c r="O292" i="21"/>
  <c r="O295" i="21"/>
  <c r="O296" i="21"/>
  <c r="O297" i="21"/>
  <c r="O298" i="21"/>
  <c r="O299" i="21"/>
  <c r="O300" i="21"/>
  <c r="O301" i="21"/>
  <c r="O302" i="21"/>
  <c r="O303" i="21"/>
  <c r="O304" i="21"/>
  <c r="O306" i="21"/>
  <c r="O307" i="21"/>
  <c r="O308" i="21"/>
  <c r="O309" i="21"/>
  <c r="O310" i="21"/>
  <c r="O311" i="21"/>
  <c r="O312" i="21"/>
  <c r="O313" i="21"/>
  <c r="O314" i="21"/>
  <c r="O315" i="21"/>
  <c r="O317" i="21"/>
  <c r="O318" i="21"/>
  <c r="O319" i="21"/>
  <c r="O320" i="21"/>
  <c r="O321" i="21"/>
  <c r="O322" i="21"/>
  <c r="O323" i="21"/>
  <c r="O324" i="21"/>
  <c r="O325" i="21"/>
  <c r="O326" i="21"/>
  <c r="O329" i="21"/>
  <c r="O330" i="21"/>
  <c r="O331" i="21"/>
  <c r="O332" i="21"/>
  <c r="O333" i="21"/>
  <c r="O334" i="21"/>
  <c r="O335" i="21"/>
  <c r="O336" i="21"/>
  <c r="O337" i="21"/>
  <c r="O338" i="21"/>
  <c r="O340" i="21"/>
  <c r="O341" i="21"/>
  <c r="O342" i="21"/>
  <c r="O343" i="21"/>
  <c r="O344" i="21"/>
  <c r="O345" i="21"/>
  <c r="O346" i="21"/>
  <c r="O347" i="21"/>
  <c r="O348" i="21"/>
  <c r="O349" i="21"/>
  <c r="O351" i="21"/>
  <c r="O352" i="21"/>
  <c r="O353" i="21"/>
  <c r="O354" i="21"/>
  <c r="O355" i="21"/>
  <c r="O356" i="21"/>
  <c r="O357" i="21"/>
  <c r="O358" i="21"/>
  <c r="O359" i="21"/>
  <c r="O360" i="21"/>
  <c r="O363" i="21"/>
  <c r="O364" i="21"/>
  <c r="O365" i="21"/>
  <c r="O366" i="21"/>
  <c r="O367" i="21"/>
  <c r="O368" i="21"/>
  <c r="O369" i="21"/>
  <c r="O370" i="21"/>
  <c r="O371" i="21"/>
  <c r="O372" i="21"/>
  <c r="O374" i="21"/>
  <c r="O375" i="21"/>
  <c r="O376" i="21"/>
  <c r="O377" i="21"/>
  <c r="O378" i="21"/>
  <c r="O379" i="21"/>
  <c r="O380" i="21"/>
  <c r="O381" i="21"/>
  <c r="O382" i="21"/>
  <c r="O383" i="21"/>
  <c r="O387" i="21"/>
  <c r="O389" i="21"/>
  <c r="O390" i="21"/>
  <c r="O391" i="21"/>
  <c r="O392" i="21"/>
  <c r="O393" i="21"/>
  <c r="O394" i="21"/>
  <c r="O395" i="21"/>
  <c r="O396" i="21"/>
  <c r="O398" i="21"/>
  <c r="O401" i="21"/>
  <c r="O402" i="21"/>
  <c r="O403" i="21"/>
  <c r="O404" i="21"/>
  <c r="O405" i="21"/>
  <c r="O406" i="21"/>
  <c r="O407" i="21"/>
  <c r="O409" i="21"/>
  <c r="O410" i="21"/>
  <c r="O411" i="21"/>
  <c r="P411" i="21" s="1"/>
  <c r="Q411" i="21" s="1"/>
  <c r="O412" i="21"/>
  <c r="P412" i="21" s="1"/>
  <c r="Q412" i="21" s="1"/>
  <c r="O413" i="21"/>
  <c r="O414" i="21"/>
  <c r="O415" i="21"/>
  <c r="O416" i="21"/>
  <c r="O417" i="21"/>
  <c r="O418" i="21"/>
  <c r="O421" i="21"/>
  <c r="O422" i="21"/>
  <c r="O423" i="21"/>
  <c r="O424" i="21"/>
  <c r="O425" i="21"/>
  <c r="O426" i="21"/>
  <c r="O427" i="21"/>
  <c r="O428" i="21"/>
  <c r="O429" i="21"/>
  <c r="O430" i="21"/>
  <c r="O432" i="21"/>
  <c r="O433" i="21"/>
  <c r="O434" i="21"/>
  <c r="O435" i="21"/>
  <c r="O436" i="21"/>
  <c r="O437" i="21"/>
  <c r="O438" i="21"/>
  <c r="O439" i="21"/>
  <c r="O440" i="21"/>
  <c r="O441" i="21"/>
  <c r="O443" i="21"/>
  <c r="O444" i="21"/>
  <c r="O445" i="21"/>
  <c r="O446" i="21"/>
  <c r="O447" i="21"/>
  <c r="O448" i="21"/>
  <c r="O449" i="21"/>
  <c r="O450" i="21"/>
  <c r="O451" i="21"/>
  <c r="O452" i="21"/>
  <c r="O455" i="21"/>
  <c r="O456" i="21"/>
  <c r="O457" i="21"/>
  <c r="O458" i="21"/>
  <c r="O459" i="21"/>
  <c r="O460" i="21"/>
  <c r="O461" i="21"/>
  <c r="O462" i="21"/>
  <c r="O463" i="21"/>
  <c r="O464" i="21"/>
  <c r="O466" i="21"/>
  <c r="O467" i="21"/>
  <c r="O468" i="21"/>
  <c r="O469" i="21"/>
  <c r="O470" i="21"/>
  <c r="O471" i="21"/>
  <c r="O472" i="21"/>
  <c r="O473" i="21"/>
  <c r="O474" i="21"/>
  <c r="O475" i="21"/>
  <c r="O477" i="21"/>
  <c r="O478" i="21"/>
  <c r="O479" i="21"/>
  <c r="O480" i="21"/>
  <c r="O481" i="21"/>
  <c r="O482" i="21"/>
  <c r="O483" i="21"/>
  <c r="O484" i="21"/>
  <c r="O485" i="21"/>
  <c r="O486" i="21"/>
  <c r="O514" i="21"/>
  <c r="O515" i="21"/>
  <c r="O516" i="21"/>
  <c r="O517" i="21"/>
  <c r="O518" i="21"/>
  <c r="O519" i="21"/>
  <c r="O520" i="21"/>
  <c r="O521" i="21"/>
  <c r="O522" i="21"/>
  <c r="O523" i="21"/>
  <c r="O524" i="21"/>
  <c r="O525" i="21"/>
  <c r="O526" i="21"/>
  <c r="O527" i="21"/>
  <c r="O528" i="21"/>
  <c r="O529" i="21"/>
  <c r="O530" i="21"/>
  <c r="O531" i="21"/>
  <c r="O532" i="21"/>
  <c r="O533" i="21"/>
  <c r="O534" i="21"/>
  <c r="O535" i="21"/>
  <c r="O536" i="21"/>
  <c r="O537" i="21"/>
  <c r="O538" i="21"/>
  <c r="O539" i="21"/>
  <c r="O540" i="21"/>
  <c r="O542" i="21"/>
  <c r="O543" i="21"/>
  <c r="O544" i="21"/>
  <c r="O545" i="21"/>
  <c r="O546" i="21"/>
  <c r="O547" i="21"/>
  <c r="O548" i="21"/>
  <c r="O549" i="21"/>
  <c r="O550" i="21"/>
  <c r="O551" i="21"/>
  <c r="O552" i="21"/>
  <c r="O553" i="21"/>
  <c r="O555" i="21"/>
  <c r="O556" i="21"/>
  <c r="O557" i="21"/>
  <c r="O558" i="21"/>
  <c r="O559" i="21"/>
  <c r="O560" i="21"/>
  <c r="O561" i="21"/>
  <c r="O562" i="21"/>
  <c r="O563" i="21"/>
  <c r="O564" i="21"/>
  <c r="O565" i="21"/>
  <c r="O566" i="21"/>
  <c r="O567" i="21"/>
  <c r="O568" i="21"/>
  <c r="O569" i="21"/>
  <c r="O570" i="21"/>
  <c r="O571" i="21"/>
  <c r="O572" i="21"/>
  <c r="O573" i="21"/>
  <c r="O579" i="21"/>
  <c r="O580" i="21"/>
  <c r="O581" i="21"/>
  <c r="O582" i="21"/>
  <c r="O583" i="21"/>
  <c r="O584" i="21"/>
  <c r="O585" i="21"/>
  <c r="O586" i="21"/>
  <c r="O587" i="21"/>
  <c r="O588" i="21"/>
  <c r="O589" i="21"/>
  <c r="O590" i="21"/>
  <c r="O591" i="21"/>
  <c r="O592" i="21"/>
  <c r="O593" i="21"/>
  <c r="O594" i="21"/>
  <c r="O595" i="21"/>
  <c r="O596" i="21"/>
  <c r="O597" i="21"/>
  <c r="O598" i="21"/>
  <c r="O599" i="21"/>
  <c r="O600" i="21"/>
  <c r="O601" i="21"/>
  <c r="O602" i="21"/>
  <c r="O603" i="21"/>
  <c r="O604" i="21"/>
  <c r="O605" i="21"/>
  <c r="O606" i="21"/>
  <c r="O608" i="21"/>
  <c r="O609" i="21"/>
  <c r="O610" i="21"/>
  <c r="O611" i="21"/>
  <c r="O612" i="21"/>
  <c r="O613" i="21"/>
  <c r="O614" i="21"/>
  <c r="O615" i="21"/>
  <c r="O616" i="21"/>
  <c r="O617" i="21"/>
  <c r="O618" i="21"/>
  <c r="O619" i="21"/>
  <c r="O621" i="21"/>
  <c r="O622" i="21"/>
  <c r="O623" i="21"/>
  <c r="O624" i="21"/>
  <c r="O625" i="21"/>
  <c r="O626" i="21"/>
  <c r="O627" i="21"/>
  <c r="O628" i="21"/>
  <c r="O629" i="21"/>
  <c r="O630" i="21"/>
  <c r="O631" i="21"/>
  <c r="O632" i="21"/>
  <c r="O633" i="21"/>
  <c r="O634" i="21"/>
  <c r="O635" i="21"/>
  <c r="O636" i="21"/>
  <c r="O637" i="21"/>
  <c r="O638" i="21"/>
  <c r="O639" i="21"/>
  <c r="O645" i="21"/>
  <c r="O646" i="21"/>
  <c r="O647" i="21"/>
  <c r="O648" i="21"/>
  <c r="O649" i="21"/>
  <c r="O650" i="21"/>
  <c r="O651" i="21"/>
  <c r="O652" i="21"/>
  <c r="O653" i="21"/>
  <c r="O654" i="21"/>
  <c r="O656" i="21"/>
  <c r="O657" i="21"/>
  <c r="O658" i="21"/>
  <c r="O659" i="21"/>
  <c r="O660" i="21"/>
  <c r="O661" i="21"/>
  <c r="O662" i="21"/>
  <c r="O663" i="21"/>
  <c r="O664" i="21"/>
  <c r="O665" i="21"/>
  <c r="O667" i="21"/>
  <c r="O668" i="21"/>
  <c r="O669" i="21"/>
  <c r="O670" i="21"/>
  <c r="O671" i="21"/>
  <c r="O672" i="21"/>
  <c r="O673" i="21"/>
  <c r="O674" i="21"/>
  <c r="O675" i="21"/>
  <c r="O676" i="21"/>
  <c r="O679" i="21"/>
  <c r="O680" i="21"/>
  <c r="O681" i="21"/>
  <c r="O682" i="21"/>
  <c r="O683" i="21"/>
  <c r="O684" i="21"/>
  <c r="O685" i="21"/>
  <c r="O686" i="21"/>
  <c r="O687" i="21"/>
  <c r="O688" i="21"/>
  <c r="O690" i="21"/>
  <c r="O691" i="21"/>
  <c r="O692" i="21"/>
  <c r="O693" i="21"/>
  <c r="O694" i="21"/>
  <c r="O695" i="21"/>
  <c r="O696" i="21"/>
  <c r="O697" i="21"/>
  <c r="O698" i="21"/>
  <c r="O699" i="21"/>
  <c r="O701" i="21"/>
  <c r="O702" i="21"/>
  <c r="O703" i="21"/>
  <c r="O704" i="21"/>
  <c r="O705" i="21"/>
  <c r="O706" i="21"/>
  <c r="O707" i="21"/>
  <c r="O708" i="21"/>
  <c r="O709" i="21"/>
  <c r="O710" i="21"/>
  <c r="O713" i="21"/>
  <c r="O714" i="21"/>
  <c r="O715" i="21"/>
  <c r="O716" i="21"/>
  <c r="O717" i="21"/>
  <c r="O718" i="21"/>
  <c r="O719" i="21"/>
  <c r="O720" i="21"/>
  <c r="O721" i="21"/>
  <c r="O722" i="21"/>
  <c r="O724" i="21"/>
  <c r="O725" i="21"/>
  <c r="O726" i="21"/>
  <c r="O727" i="21"/>
  <c r="O728" i="21"/>
  <c r="O729" i="21"/>
  <c r="O730" i="21"/>
  <c r="O731" i="21"/>
  <c r="O732" i="21"/>
  <c r="O733" i="21"/>
  <c r="O735" i="21"/>
  <c r="O736" i="21"/>
  <c r="O737" i="21"/>
  <c r="O738" i="21"/>
  <c r="O739" i="21"/>
  <c r="O740" i="21"/>
  <c r="O741" i="21"/>
  <c r="O742" i="21"/>
  <c r="O743" i="21"/>
  <c r="O744" i="21"/>
  <c r="O747" i="21"/>
  <c r="O748" i="21"/>
  <c r="O749" i="21"/>
  <c r="O750" i="21"/>
  <c r="O751" i="21"/>
  <c r="O752" i="21"/>
  <c r="O753" i="21"/>
  <c r="O754" i="21"/>
  <c r="O755" i="21"/>
  <c r="O756" i="21"/>
  <c r="O758" i="21"/>
  <c r="O759" i="21"/>
  <c r="O760" i="21"/>
  <c r="O761" i="21"/>
  <c r="O762" i="21"/>
  <c r="O763" i="21"/>
  <c r="O764" i="21"/>
  <c r="O765" i="21"/>
  <c r="O766" i="21"/>
  <c r="O767" i="21"/>
  <c r="O4" i="21"/>
  <c r="O5" i="21"/>
  <c r="O6" i="21"/>
  <c r="O7" i="21"/>
  <c r="O8" i="21"/>
  <c r="O9" i="21"/>
  <c r="O10" i="21"/>
  <c r="O11" i="21"/>
  <c r="O12" i="21"/>
  <c r="O14" i="21"/>
  <c r="O15" i="21"/>
  <c r="O16" i="21"/>
  <c r="O17" i="21"/>
  <c r="O18" i="21"/>
  <c r="O19" i="21"/>
  <c r="O20" i="21"/>
  <c r="O21" i="21"/>
  <c r="O22" i="21"/>
  <c r="O23" i="21"/>
  <c r="O25" i="21"/>
  <c r="O26" i="21"/>
  <c r="O27" i="21"/>
  <c r="O28" i="21"/>
  <c r="O29" i="21"/>
  <c r="O30" i="21"/>
  <c r="O31" i="21"/>
  <c r="O32" i="21"/>
  <c r="O33" i="21"/>
  <c r="O34" i="21"/>
  <c r="O37" i="21"/>
  <c r="O38" i="21"/>
  <c r="O39" i="21"/>
  <c r="O40" i="21"/>
  <c r="O41" i="21"/>
  <c r="O42" i="21"/>
  <c r="O43" i="21"/>
  <c r="O44" i="21"/>
  <c r="O45" i="21"/>
  <c r="O46" i="21"/>
  <c r="O48" i="21"/>
  <c r="O49" i="21"/>
  <c r="O50" i="21"/>
  <c r="O51" i="21"/>
  <c r="O52" i="21"/>
  <c r="O53" i="21"/>
  <c r="O54" i="21"/>
  <c r="O55" i="21"/>
  <c r="O56" i="21"/>
  <c r="O57" i="21"/>
  <c r="O59" i="21"/>
  <c r="O60" i="21"/>
  <c r="O61" i="21"/>
  <c r="O62" i="21"/>
  <c r="O63" i="21"/>
  <c r="O64" i="21"/>
  <c r="O65" i="21"/>
  <c r="O66" i="21"/>
  <c r="O67" i="21"/>
  <c r="O68" i="21"/>
  <c r="O71" i="21"/>
  <c r="O3" i="21"/>
  <c r="P134" i="21" l="1"/>
  <c r="Q419" i="21"/>
  <c r="Q420" i="21" s="1"/>
  <c r="Q512" i="21" s="1"/>
  <c r="P419" i="21"/>
  <c r="P420" i="21" s="1"/>
  <c r="P512" i="21" s="1"/>
  <c r="B209" i="28" s="1"/>
  <c r="N510" i="21"/>
  <c r="J510" i="21"/>
  <c r="I510" i="21"/>
  <c r="Q134" i="21" l="1"/>
  <c r="O510" i="21"/>
  <c r="I757" i="21" l="1"/>
  <c r="J757" i="21"/>
  <c r="K757" i="21"/>
  <c r="N757" i="21"/>
  <c r="O757" i="21" s="1"/>
  <c r="I768" i="21"/>
  <c r="J768" i="21"/>
  <c r="K768" i="21"/>
  <c r="N768" i="21"/>
  <c r="O768" i="21" s="1"/>
  <c r="K769" i="21" l="1"/>
  <c r="J769" i="21"/>
  <c r="I769" i="21"/>
  <c r="N769" i="21"/>
  <c r="O769" i="21" s="1"/>
  <c r="K282" i="21"/>
  <c r="K33" i="21" l="1"/>
  <c r="K29" i="21"/>
  <c r="K17" i="21"/>
  <c r="K9" i="21"/>
  <c r="K660" i="21"/>
  <c r="K657" i="21"/>
  <c r="K649" i="21"/>
  <c r="K416" i="21"/>
  <c r="K396" i="21"/>
  <c r="K663" i="21"/>
  <c r="K21" i="21"/>
  <c r="K20" i="21"/>
  <c r="K652" i="21"/>
  <c r="K32" i="21"/>
  <c r="K8" i="21"/>
  <c r="K418" i="21"/>
  <c r="K406" i="21"/>
  <c r="K676" i="21"/>
  <c r="K671" i="21"/>
  <c r="K661" i="21"/>
  <c r="K659" i="21"/>
  <c r="K651" i="21"/>
  <c r="K407" i="21"/>
  <c r="K27" i="21"/>
  <c r="K403" i="21"/>
  <c r="K31" i="21"/>
  <c r="K15" i="21"/>
  <c r="K392" i="21"/>
  <c r="K395" i="21"/>
  <c r="K662" i="21"/>
  <c r="K647" i="21"/>
  <c r="K672" i="21"/>
  <c r="K648" i="21"/>
  <c r="K675" i="21"/>
  <c r="K674" i="21"/>
  <c r="K673" i="21"/>
  <c r="K665" i="21"/>
  <c r="K658" i="21"/>
  <c r="K654" i="21"/>
  <c r="K664" i="21"/>
  <c r="K653" i="21"/>
  <c r="K650" i="21"/>
  <c r="K414" i="21"/>
  <c r="K391" i="21"/>
  <c r="K22" i="21"/>
  <c r="K18" i="21"/>
  <c r="K394" i="21"/>
  <c r="K390" i="21"/>
  <c r="K404" i="21"/>
  <c r="K415" i="21"/>
  <c r="K417" i="21"/>
  <c r="K405" i="21"/>
  <c r="K389" i="21"/>
  <c r="K393" i="21"/>
  <c r="K413" i="21"/>
  <c r="K12" i="21"/>
  <c r="K11" i="21"/>
  <c r="K28" i="21"/>
  <c r="K16" i="21"/>
  <c r="K5" i="21"/>
  <c r="K19" i="21"/>
  <c r="K34" i="21"/>
  <c r="K30" i="21"/>
  <c r="K26" i="21"/>
  <c r="K23" i="21"/>
  <c r="K7" i="21"/>
  <c r="K10" i="21"/>
  <c r="K6" i="21"/>
  <c r="K35" i="21" l="1"/>
  <c r="K419" i="21"/>
  <c r="K655" i="21"/>
  <c r="K666" i="21"/>
  <c r="K677" i="21"/>
  <c r="K397" i="21"/>
  <c r="K408" i="21"/>
  <c r="N745" i="21"/>
  <c r="O745" i="21" s="1"/>
  <c r="K745" i="21"/>
  <c r="J745" i="21"/>
  <c r="I745" i="21"/>
  <c r="N734" i="21"/>
  <c r="O734" i="21" s="1"/>
  <c r="K734" i="21"/>
  <c r="J734" i="21"/>
  <c r="I734" i="21"/>
  <c r="N723" i="21"/>
  <c r="O723" i="21" s="1"/>
  <c r="K723" i="21"/>
  <c r="J723" i="21"/>
  <c r="I723" i="21"/>
  <c r="N711" i="21"/>
  <c r="O711" i="21" s="1"/>
  <c r="N700" i="21"/>
  <c r="O700" i="21" s="1"/>
  <c r="N689" i="21"/>
  <c r="O689" i="21" s="1"/>
  <c r="N677" i="21"/>
  <c r="O677" i="21" s="1"/>
  <c r="N666" i="21"/>
  <c r="O666" i="21" s="1"/>
  <c r="N655" i="21"/>
  <c r="O655" i="21" s="1"/>
  <c r="M643" i="21"/>
  <c r="K643" i="21"/>
  <c r="M642" i="21"/>
  <c r="K641" i="21"/>
  <c r="N640" i="21"/>
  <c r="J640" i="21"/>
  <c r="J643" i="21" s="1"/>
  <c r="I640" i="21"/>
  <c r="I643" i="21" s="1"/>
  <c r="N620" i="21"/>
  <c r="K620" i="21"/>
  <c r="K642" i="21" s="1"/>
  <c r="J620" i="21"/>
  <c r="J642" i="21" s="1"/>
  <c r="I620" i="21"/>
  <c r="I642" i="21" s="1"/>
  <c r="N607" i="21"/>
  <c r="O607" i="21" s="1"/>
  <c r="J641" i="21"/>
  <c r="I607" i="21"/>
  <c r="I641" i="21" s="1"/>
  <c r="M577" i="21"/>
  <c r="K577" i="21"/>
  <c r="M576" i="21"/>
  <c r="K575" i="21"/>
  <c r="N574" i="21"/>
  <c r="O574" i="21" s="1"/>
  <c r="J574" i="21"/>
  <c r="J577" i="21" s="1"/>
  <c r="I574" i="21"/>
  <c r="I577" i="21" s="1"/>
  <c r="N554" i="21"/>
  <c r="O554" i="21" s="1"/>
  <c r="K554" i="21"/>
  <c r="K576" i="21" s="1"/>
  <c r="J554" i="21"/>
  <c r="J576" i="21" s="1"/>
  <c r="I554" i="21"/>
  <c r="I576" i="21" s="1"/>
  <c r="I541" i="21"/>
  <c r="N499" i="21"/>
  <c r="O499" i="21" s="1"/>
  <c r="N487" i="21"/>
  <c r="O487" i="21" s="1"/>
  <c r="I487" i="21"/>
  <c r="N476" i="21"/>
  <c r="O476" i="21" s="1"/>
  <c r="I476" i="21"/>
  <c r="N465" i="21"/>
  <c r="O465" i="21" s="1"/>
  <c r="I465" i="21"/>
  <c r="N453" i="21"/>
  <c r="O453" i="21" s="1"/>
  <c r="I453" i="21"/>
  <c r="N442" i="21"/>
  <c r="O442" i="21" s="1"/>
  <c r="I442" i="21"/>
  <c r="N431" i="21"/>
  <c r="I431" i="21"/>
  <c r="N419" i="21"/>
  <c r="O419" i="21" s="1"/>
  <c r="N408" i="21"/>
  <c r="O408" i="21" s="1"/>
  <c r="I408" i="21"/>
  <c r="J397" i="21"/>
  <c r="J420" i="21" s="1"/>
  <c r="I397" i="21"/>
  <c r="N397" i="21"/>
  <c r="N384" i="21"/>
  <c r="O384" i="21" s="1"/>
  <c r="K384" i="21"/>
  <c r="J384" i="21"/>
  <c r="I384" i="21"/>
  <c r="N373" i="21"/>
  <c r="O373" i="21" s="1"/>
  <c r="K373" i="21"/>
  <c r="J373" i="21"/>
  <c r="I373" i="21"/>
  <c r="N361" i="21"/>
  <c r="O361" i="21" s="1"/>
  <c r="K361" i="21"/>
  <c r="J361" i="21"/>
  <c r="I361" i="21"/>
  <c r="N350" i="21"/>
  <c r="O350" i="21" s="1"/>
  <c r="K350" i="21"/>
  <c r="J350" i="21"/>
  <c r="I350" i="21"/>
  <c r="N339" i="21"/>
  <c r="O339" i="21" s="1"/>
  <c r="K339" i="21"/>
  <c r="J339" i="21"/>
  <c r="I339" i="21"/>
  <c r="N327" i="21"/>
  <c r="O327" i="21" s="1"/>
  <c r="K327" i="21"/>
  <c r="J327" i="21"/>
  <c r="I327" i="21"/>
  <c r="N316" i="21"/>
  <c r="O316" i="21" s="1"/>
  <c r="K316" i="21"/>
  <c r="J316" i="21"/>
  <c r="I316" i="21"/>
  <c r="N305" i="21"/>
  <c r="O305" i="21" s="1"/>
  <c r="K305" i="21"/>
  <c r="J305" i="21"/>
  <c r="I305" i="21"/>
  <c r="N293" i="21"/>
  <c r="O293" i="21" s="1"/>
  <c r="J293" i="21"/>
  <c r="I293" i="21"/>
  <c r="N282" i="21"/>
  <c r="O282" i="21" s="1"/>
  <c r="J282" i="21"/>
  <c r="I282" i="21"/>
  <c r="N271" i="21"/>
  <c r="O271" i="21" s="1"/>
  <c r="J271" i="21"/>
  <c r="I271" i="21"/>
  <c r="N126" i="21"/>
  <c r="O126" i="21" s="1"/>
  <c r="K126" i="21"/>
  <c r="J126" i="21"/>
  <c r="I126" i="21"/>
  <c r="N115" i="21"/>
  <c r="O115" i="21" s="1"/>
  <c r="K115" i="21"/>
  <c r="J115" i="21"/>
  <c r="I115" i="21"/>
  <c r="N103" i="21"/>
  <c r="O103" i="21" s="1"/>
  <c r="K103" i="21"/>
  <c r="J103" i="21"/>
  <c r="I103" i="21"/>
  <c r="N92" i="21"/>
  <c r="O92" i="21" s="1"/>
  <c r="K92" i="21"/>
  <c r="J92" i="21"/>
  <c r="I92" i="21"/>
  <c r="N81" i="21"/>
  <c r="O81" i="21" s="1"/>
  <c r="K81" i="21"/>
  <c r="J81" i="21"/>
  <c r="I81" i="21"/>
  <c r="N69" i="21"/>
  <c r="O69" i="21" s="1"/>
  <c r="J69" i="21"/>
  <c r="I69" i="21"/>
  <c r="N58" i="21"/>
  <c r="O58" i="21" s="1"/>
  <c r="K58" i="21"/>
  <c r="J58" i="21"/>
  <c r="I58" i="21"/>
  <c r="N47" i="21"/>
  <c r="J47" i="21"/>
  <c r="I47" i="21"/>
  <c r="K47" i="21"/>
  <c r="K678" i="21" l="1"/>
  <c r="O397" i="21"/>
  <c r="K420" i="21"/>
  <c r="J746" i="21"/>
  <c r="K746" i="21"/>
  <c r="I454" i="21"/>
  <c r="K488" i="21"/>
  <c r="N643" i="21"/>
  <c r="O643" i="21" s="1"/>
  <c r="O640" i="21"/>
  <c r="N642" i="21"/>
  <c r="O642" i="21" s="1"/>
  <c r="O620" i="21"/>
  <c r="J541" i="21"/>
  <c r="J575" i="21" s="1"/>
  <c r="J578" i="21" s="1"/>
  <c r="O513" i="21"/>
  <c r="I488" i="21"/>
  <c r="K454" i="21"/>
  <c r="N454" i="21"/>
  <c r="O454" i="21" s="1"/>
  <c r="O431" i="21"/>
  <c r="O47" i="21"/>
  <c r="N712" i="21"/>
  <c r="O712" i="21" s="1"/>
  <c r="I385" i="21"/>
  <c r="N541" i="21"/>
  <c r="K578" i="21"/>
  <c r="I511" i="21"/>
  <c r="K511" i="21"/>
  <c r="N511" i="21"/>
  <c r="K644" i="21"/>
  <c r="K14" i="21"/>
  <c r="K24" i="21" s="1"/>
  <c r="I420" i="21"/>
  <c r="J385" i="21"/>
  <c r="I644" i="21"/>
  <c r="N641" i="21"/>
  <c r="N420" i="21"/>
  <c r="O420" i="21" s="1"/>
  <c r="I575" i="21"/>
  <c r="I578" i="21" s="1"/>
  <c r="N577" i="21"/>
  <c r="O577" i="21" s="1"/>
  <c r="N678" i="21"/>
  <c r="O678" i="21" s="1"/>
  <c r="N576" i="21"/>
  <c r="O576" i="21" s="1"/>
  <c r="N488" i="21"/>
  <c r="O488" i="21" s="1"/>
  <c r="J511" i="21"/>
  <c r="J644" i="21"/>
  <c r="I746" i="21"/>
  <c r="N746" i="21"/>
  <c r="O746" i="21" s="1"/>
  <c r="K385" i="21"/>
  <c r="I362" i="21"/>
  <c r="N385" i="21"/>
  <c r="O385" i="21" s="1"/>
  <c r="K362" i="21"/>
  <c r="J362" i="21"/>
  <c r="N362" i="21"/>
  <c r="O362" i="21" s="1"/>
  <c r="J328" i="21"/>
  <c r="K294" i="21"/>
  <c r="K328" i="21"/>
  <c r="N328" i="21"/>
  <c r="O328" i="21" s="1"/>
  <c r="I328" i="21"/>
  <c r="J294" i="21"/>
  <c r="N294" i="21"/>
  <c r="O294" i="21" s="1"/>
  <c r="I294" i="21"/>
  <c r="K127" i="21"/>
  <c r="I127" i="21"/>
  <c r="N127" i="21"/>
  <c r="O127" i="21" s="1"/>
  <c r="J127" i="21"/>
  <c r="J104" i="21"/>
  <c r="I104" i="21"/>
  <c r="K104" i="21"/>
  <c r="N104" i="21"/>
  <c r="O104" i="21" s="1"/>
  <c r="I70" i="21"/>
  <c r="K70" i="21"/>
  <c r="J70" i="21"/>
  <c r="N70" i="21"/>
  <c r="O511" i="21" l="1"/>
  <c r="O70" i="21"/>
  <c r="N644" i="21"/>
  <c r="O644" i="21" s="1"/>
  <c r="O641" i="21"/>
  <c r="N575" i="21"/>
  <c r="O575" i="21" s="1"/>
  <c r="O541" i="21"/>
  <c r="I512" i="21"/>
  <c r="K770" i="21"/>
  <c r="K512" i="21"/>
  <c r="B205" i="28" s="1"/>
  <c r="J770" i="21"/>
  <c r="D204" i="28" s="1"/>
  <c r="I770" i="21"/>
  <c r="J512" i="21"/>
  <c r="B204" i="28" s="1"/>
  <c r="N512" i="21"/>
  <c r="B208" i="28" s="1"/>
  <c r="N35" i="21"/>
  <c r="J35" i="21"/>
  <c r="I35" i="21"/>
  <c r="J24" i="21"/>
  <c r="I24" i="21"/>
  <c r="N24" i="21"/>
  <c r="O24" i="21" s="1"/>
  <c r="J13" i="21"/>
  <c r="I13" i="21"/>
  <c r="M259" i="21"/>
  <c r="K259" i="21"/>
  <c r="M258" i="21"/>
  <c r="K257" i="21"/>
  <c r="K193" i="21"/>
  <c r="M193" i="21"/>
  <c r="M192" i="21"/>
  <c r="K191" i="21"/>
  <c r="O129" i="21"/>
  <c r="P129" i="21" s="1"/>
  <c r="N256" i="21"/>
  <c r="J256" i="21"/>
  <c r="J259" i="21" s="1"/>
  <c r="I256" i="21"/>
  <c r="I259" i="21" s="1"/>
  <c r="N236" i="21"/>
  <c r="K258" i="21"/>
  <c r="J236" i="21"/>
  <c r="J258" i="21" s="1"/>
  <c r="I236" i="21"/>
  <c r="I258" i="21" s="1"/>
  <c r="N223" i="21"/>
  <c r="J223" i="21"/>
  <c r="J257" i="21" s="1"/>
  <c r="I223" i="21"/>
  <c r="I257" i="21" s="1"/>
  <c r="N170" i="21"/>
  <c r="J170" i="21"/>
  <c r="J192" i="21" s="1"/>
  <c r="K170" i="21"/>
  <c r="K192" i="21" s="1"/>
  <c r="I170" i="21"/>
  <c r="I192" i="21" s="1"/>
  <c r="K21" i="70" l="1"/>
  <c r="L21" i="70" s="1"/>
  <c r="N21" i="70" s="1"/>
  <c r="P21" i="70" s="1"/>
  <c r="C40" i="62"/>
  <c r="D40" i="62" s="1"/>
  <c r="F40" i="62" s="1"/>
  <c r="H40" i="62" s="1"/>
  <c r="O35" i="21"/>
  <c r="P157" i="21"/>
  <c r="P191" i="21" s="1"/>
  <c r="P194" i="21" s="1"/>
  <c r="P386" i="21" s="1"/>
  <c r="Q129" i="21"/>
  <c r="Q157" i="21" s="1"/>
  <c r="Q191" i="21" s="1"/>
  <c r="Q194" i="21" s="1"/>
  <c r="Q386" i="21" s="1"/>
  <c r="D202" i="28" s="1"/>
  <c r="N578" i="21"/>
  <c r="O578" i="21" s="1"/>
  <c r="O512" i="21"/>
  <c r="D208" i="28" s="1"/>
  <c r="N259" i="21"/>
  <c r="O259" i="21" s="1"/>
  <c r="O256" i="21"/>
  <c r="N258" i="21"/>
  <c r="O258" i="21" s="1"/>
  <c r="O236" i="21"/>
  <c r="N257" i="21"/>
  <c r="O257" i="21" s="1"/>
  <c r="O223" i="21"/>
  <c r="N192" i="21"/>
  <c r="O192" i="21" s="1"/>
  <c r="O170" i="21"/>
  <c r="J36" i="21"/>
  <c r="J128" i="21" s="1"/>
  <c r="B197" i="28" s="1"/>
  <c r="I36" i="21"/>
  <c r="I128" i="21" s="1"/>
  <c r="N13" i="21"/>
  <c r="O13" i="21" s="1"/>
  <c r="I260" i="21"/>
  <c r="K260" i="21"/>
  <c r="J260" i="21"/>
  <c r="K194" i="21"/>
  <c r="C24" i="70" l="1"/>
  <c r="D24" i="70" s="1"/>
  <c r="F24" i="70" s="1"/>
  <c r="H24" i="70" s="1"/>
  <c r="C24" i="62"/>
  <c r="D24" i="62" s="1"/>
  <c r="F24" i="62" s="1"/>
  <c r="H24" i="62" s="1"/>
  <c r="N770" i="21"/>
  <c r="O770" i="21" s="1"/>
  <c r="N260" i="21"/>
  <c r="O260" i="21" s="1"/>
  <c r="K386" i="21"/>
  <c r="N36" i="21"/>
  <c r="N128" i="21" l="1"/>
  <c r="B201" i="28" s="1"/>
  <c r="O36" i="21"/>
  <c r="O128" i="21" l="1"/>
  <c r="D201" i="28" s="1"/>
  <c r="K3" i="21" l="1"/>
  <c r="K13" i="21" s="1"/>
  <c r="K36" i="21" l="1"/>
  <c r="K128" i="21" s="1"/>
  <c r="B198" i="28" s="1"/>
  <c r="C25" i="70" l="1"/>
  <c r="D25" i="70" s="1"/>
  <c r="F25" i="70" s="1"/>
  <c r="H25" i="70" s="1"/>
  <c r="C25" i="62"/>
  <c r="D25" i="62" s="1"/>
  <c r="F25" i="62" s="1"/>
  <c r="H25" i="62" s="1"/>
  <c r="J190" i="21"/>
  <c r="J193" i="21" s="1"/>
  <c r="N190" i="21"/>
  <c r="I190" i="21"/>
  <c r="I193" i="21" s="1"/>
  <c r="N193" i="21" l="1"/>
  <c r="O193" i="21" s="1"/>
  <c r="O190" i="21"/>
  <c r="N157" i="21"/>
  <c r="J157" i="21"/>
  <c r="I157" i="21"/>
  <c r="O157" i="21" l="1"/>
  <c r="N191" i="21"/>
  <c r="I191" i="21"/>
  <c r="I194" i="21" s="1"/>
  <c r="I386" i="21" s="1"/>
  <c r="J191" i="21"/>
  <c r="J194" i="21" s="1"/>
  <c r="J386" i="21" s="1"/>
  <c r="D197" i="28" s="1"/>
  <c r="N194" i="21" l="1"/>
  <c r="O194" i="21" s="1"/>
  <c r="O191" i="21"/>
  <c r="N386" i="21" l="1"/>
  <c r="O386" i="21" s="1"/>
  <c r="BA8" i="40"/>
  <c r="L8" i="40" l="1"/>
  <c r="L81" i="40" s="1"/>
  <c r="BA81" i="40"/>
  <c r="BB8" i="40"/>
  <c r="BE8" i="40"/>
  <c r="AE8" i="40"/>
  <c r="U8" i="40"/>
  <c r="T3" i="40"/>
  <c r="U3" i="40" s="1"/>
  <c r="V3" i="40" s="1"/>
  <c r="AO10" i="40"/>
  <c r="I3" i="40"/>
  <c r="AD3" i="40"/>
  <c r="AE3" i="40" s="1"/>
  <c r="AF3" i="40" s="1"/>
  <c r="T69" i="40" l="1"/>
  <c r="T70" i="40"/>
  <c r="T71" i="40"/>
  <c r="T72" i="40"/>
  <c r="T73" i="40"/>
  <c r="T74" i="40"/>
  <c r="T75" i="40"/>
  <c r="T76" i="40"/>
  <c r="T77" i="40"/>
  <c r="T78" i="40"/>
  <c r="T79" i="40"/>
  <c r="T80" i="40"/>
  <c r="D284" i="28"/>
  <c r="AD69" i="40"/>
  <c r="AD70" i="40"/>
  <c r="AD71" i="40"/>
  <c r="AD72" i="40"/>
  <c r="AD73" i="40"/>
  <c r="AD74" i="40"/>
  <c r="AD75" i="40"/>
  <c r="AD76" i="40"/>
  <c r="AD77" i="40"/>
  <c r="AD78" i="40"/>
  <c r="AD79" i="40"/>
  <c r="AD80" i="40"/>
  <c r="T61" i="40"/>
  <c r="S61" i="40" s="1"/>
  <c r="T65" i="40"/>
  <c r="S65" i="40" s="1"/>
  <c r="T63" i="40"/>
  <c r="S63" i="40" s="1"/>
  <c r="T64" i="40"/>
  <c r="S64" i="40" s="1"/>
  <c r="T62" i="40"/>
  <c r="S62" i="40" s="1"/>
  <c r="T66" i="40"/>
  <c r="S66" i="40" s="1"/>
  <c r="T59" i="40"/>
  <c r="S59" i="40" s="1"/>
  <c r="T60" i="40"/>
  <c r="S60" i="40" s="1"/>
  <c r="T68" i="40"/>
  <c r="S68" i="40" s="1"/>
  <c r="T67" i="40"/>
  <c r="S67" i="40" s="1"/>
  <c r="M8" i="40"/>
  <c r="O8" i="40"/>
  <c r="J3" i="40"/>
  <c r="K3" i="40" s="1"/>
  <c r="T34" i="40"/>
  <c r="S34" i="40" s="1"/>
  <c r="T33" i="40"/>
  <c r="S33" i="40" s="1"/>
  <c r="T30" i="40"/>
  <c r="S30" i="40" s="1"/>
  <c r="T37" i="40"/>
  <c r="S37" i="40" s="1"/>
  <c r="T15" i="40"/>
  <c r="S15" i="40" s="1"/>
  <c r="T55" i="40"/>
  <c r="S55" i="40" s="1"/>
  <c r="T11" i="40"/>
  <c r="S11" i="40" s="1"/>
  <c r="T45" i="40"/>
  <c r="S45" i="40" s="1"/>
  <c r="T56" i="40"/>
  <c r="S56" i="40" s="1"/>
  <c r="T23" i="40"/>
  <c r="S23" i="40" s="1"/>
  <c r="T24" i="40"/>
  <c r="S24" i="40" s="1"/>
  <c r="T22" i="40"/>
  <c r="S22" i="40" s="1"/>
  <c r="T19" i="40"/>
  <c r="S19" i="40" s="1"/>
  <c r="T44" i="40"/>
  <c r="S44" i="40" s="1"/>
  <c r="T57" i="40"/>
  <c r="S57" i="40" s="1"/>
  <c r="T52" i="40"/>
  <c r="S52" i="40" s="1"/>
  <c r="T25" i="40"/>
  <c r="S25" i="40" s="1"/>
  <c r="T28" i="40"/>
  <c r="S28" i="40" s="1"/>
  <c r="T16" i="40"/>
  <c r="S16" i="40" s="1"/>
  <c r="T54" i="40"/>
  <c r="S54" i="40" s="1"/>
  <c r="T36" i="40"/>
  <c r="S36" i="40" s="1"/>
  <c r="T39" i="40"/>
  <c r="S39" i="40" s="1"/>
  <c r="T53" i="40"/>
  <c r="S53" i="40" s="1"/>
  <c r="T12" i="40"/>
  <c r="S12" i="40" s="1"/>
  <c r="T49" i="40"/>
  <c r="S49" i="40" s="1"/>
  <c r="T48" i="40"/>
  <c r="S48" i="40" s="1"/>
  <c r="T42" i="40"/>
  <c r="S42" i="40" s="1"/>
  <c r="T29" i="40"/>
  <c r="S29" i="40" s="1"/>
  <c r="T31" i="40"/>
  <c r="S31" i="40" s="1"/>
  <c r="T46" i="40"/>
  <c r="S46" i="40" s="1"/>
  <c r="T14" i="40"/>
  <c r="S14" i="40" s="1"/>
  <c r="T27" i="40"/>
  <c r="S27" i="40" s="1"/>
  <c r="T50" i="40"/>
  <c r="S50" i="40" s="1"/>
  <c r="T40" i="40"/>
  <c r="S40" i="40" s="1"/>
  <c r="T41" i="40"/>
  <c r="S41" i="40" s="1"/>
  <c r="T43" i="40"/>
  <c r="S43" i="40" s="1"/>
  <c r="T21" i="40"/>
  <c r="S21" i="40" s="1"/>
  <c r="T18" i="40"/>
  <c r="S18" i="40" s="1"/>
  <c r="T32" i="40"/>
  <c r="S32" i="40" s="1"/>
  <c r="T17" i="40"/>
  <c r="S17" i="40" s="1"/>
  <c r="T51" i="40"/>
  <c r="S51" i="40" s="1"/>
  <c r="T20" i="40"/>
  <c r="S20" i="40" s="1"/>
  <c r="T26" i="40"/>
  <c r="S26" i="40" s="1"/>
  <c r="T38" i="40"/>
  <c r="S38" i="40" s="1"/>
  <c r="T35" i="40"/>
  <c r="S35" i="40" s="1"/>
  <c r="T13" i="40"/>
  <c r="S13" i="40" s="1"/>
  <c r="T47" i="40"/>
  <c r="S47" i="40" s="1"/>
  <c r="T10" i="40"/>
  <c r="S10" i="40" s="1"/>
  <c r="T58" i="40"/>
  <c r="S58" i="40" s="1"/>
  <c r="T9" i="40"/>
  <c r="S9" i="40" s="1"/>
  <c r="AE81" i="40"/>
  <c r="AF8" i="40"/>
  <c r="AH8" i="40"/>
  <c r="AO83" i="40"/>
  <c r="AP10" i="40"/>
  <c r="AR10" i="40"/>
  <c r="BA3" i="40"/>
  <c r="X8" i="40"/>
  <c r="V8" i="40"/>
  <c r="U81" i="40"/>
  <c r="C90" i="62" l="1"/>
  <c r="D90" i="62" s="1"/>
  <c r="F90" i="62" s="1"/>
  <c r="H90" i="62" s="1"/>
  <c r="L16" i="70"/>
  <c r="N16" i="70" s="1"/>
  <c r="P16" i="70" s="1"/>
  <c r="T29" i="70"/>
  <c r="V29" i="70" s="1"/>
  <c r="X29" i="70" s="1"/>
  <c r="D74" i="62"/>
  <c r="F74" i="62" s="1"/>
  <c r="H74" i="62" s="1"/>
  <c r="D18" i="62"/>
  <c r="F18" i="62" s="1"/>
  <c r="H18" i="62" s="1"/>
  <c r="D48" i="62"/>
  <c r="F48" i="62" s="1"/>
  <c r="H48" i="62" s="1"/>
  <c r="D18" i="70"/>
  <c r="F18" i="70" s="1"/>
  <c r="H18" i="70" s="1"/>
  <c r="T15" i="70"/>
  <c r="V15" i="70" s="1"/>
  <c r="X15" i="70" s="1"/>
  <c r="D61" i="62"/>
  <c r="F61" i="62" s="1"/>
  <c r="H61" i="62" s="1"/>
  <c r="K57" i="40"/>
  <c r="J57" i="40" s="1"/>
  <c r="K69" i="40"/>
  <c r="K70" i="40"/>
  <c r="K71" i="40"/>
  <c r="K72" i="40"/>
  <c r="K73" i="40"/>
  <c r="K74" i="40"/>
  <c r="K75" i="40"/>
  <c r="K76" i="40"/>
  <c r="K77" i="40"/>
  <c r="K78" i="40"/>
  <c r="K79" i="40"/>
  <c r="K80" i="40"/>
  <c r="AC79" i="40"/>
  <c r="AF79" i="40"/>
  <c r="AC75" i="40"/>
  <c r="AF75" i="40"/>
  <c r="AC71" i="40"/>
  <c r="AF71" i="40"/>
  <c r="S76" i="40"/>
  <c r="V76" i="40"/>
  <c r="S72" i="40"/>
  <c r="V72" i="40"/>
  <c r="AC78" i="40"/>
  <c r="AF78" i="40"/>
  <c r="AC74" i="40"/>
  <c r="AF74" i="40"/>
  <c r="AC70" i="40"/>
  <c r="AF70" i="40"/>
  <c r="S79" i="40"/>
  <c r="V79" i="40"/>
  <c r="S75" i="40"/>
  <c r="V75" i="40"/>
  <c r="S71" i="40"/>
  <c r="V71" i="40"/>
  <c r="BH69" i="40"/>
  <c r="BI69" i="40" s="1"/>
  <c r="AZ69" i="40" s="1"/>
  <c r="BH70" i="40"/>
  <c r="BI70" i="40" s="1"/>
  <c r="AZ70" i="40" s="1"/>
  <c r="BH71" i="40"/>
  <c r="BI71" i="40" s="1"/>
  <c r="AZ71" i="40" s="1"/>
  <c r="BH72" i="40"/>
  <c r="BI72" i="40" s="1"/>
  <c r="AZ72" i="40" s="1"/>
  <c r="BH73" i="40"/>
  <c r="BI73" i="40" s="1"/>
  <c r="AZ73" i="40" s="1"/>
  <c r="BH74" i="40"/>
  <c r="BI74" i="40" s="1"/>
  <c r="AZ74" i="40" s="1"/>
  <c r="BH75" i="40"/>
  <c r="BI75" i="40" s="1"/>
  <c r="AZ75" i="40" s="1"/>
  <c r="BH76" i="40"/>
  <c r="BI76" i="40" s="1"/>
  <c r="AZ76" i="40" s="1"/>
  <c r="BH77" i="40"/>
  <c r="BI77" i="40" s="1"/>
  <c r="AZ77" i="40" s="1"/>
  <c r="BH78" i="40"/>
  <c r="BI78" i="40" s="1"/>
  <c r="AZ78" i="40" s="1"/>
  <c r="BH79" i="40"/>
  <c r="BI79" i="40" s="1"/>
  <c r="AZ79" i="40" s="1"/>
  <c r="BH80" i="40"/>
  <c r="BI80" i="40" s="1"/>
  <c r="AZ80" i="40" s="1"/>
  <c r="AA19" i="70"/>
  <c r="AB19" i="70" s="1"/>
  <c r="AD19" i="70" s="1"/>
  <c r="AF19" i="70" s="1"/>
  <c r="L30" i="70"/>
  <c r="N30" i="70" s="1"/>
  <c r="P30" i="70" s="1"/>
  <c r="D35" i="62"/>
  <c r="F35" i="62" s="1"/>
  <c r="H35" i="62" s="1"/>
  <c r="AC77" i="40"/>
  <c r="AF77" i="40"/>
  <c r="AC73" i="40"/>
  <c r="AF73" i="40"/>
  <c r="AC69" i="40"/>
  <c r="AF69" i="40"/>
  <c r="S78" i="40"/>
  <c r="V78" i="40"/>
  <c r="S74" i="40"/>
  <c r="V74" i="40"/>
  <c r="S70" i="40"/>
  <c r="V70" i="40"/>
  <c r="S80" i="40"/>
  <c r="V80" i="40"/>
  <c r="K58" i="40"/>
  <c r="J58" i="40" s="1"/>
  <c r="AC80" i="40"/>
  <c r="AF80" i="40"/>
  <c r="AC76" i="40"/>
  <c r="AF76" i="40"/>
  <c r="AC72" i="40"/>
  <c r="AF72" i="40"/>
  <c r="S77" i="40"/>
  <c r="V77" i="40"/>
  <c r="S73" i="40"/>
  <c r="V73" i="40"/>
  <c r="S69" i="40"/>
  <c r="V69" i="40"/>
  <c r="V64" i="40"/>
  <c r="V59" i="40"/>
  <c r="V67" i="40"/>
  <c r="V66" i="40"/>
  <c r="V65" i="40"/>
  <c r="AD61" i="40"/>
  <c r="AC61" i="40" s="1"/>
  <c r="AD65" i="40"/>
  <c r="AC65" i="40" s="1"/>
  <c r="AD66" i="40"/>
  <c r="AC66" i="40" s="1"/>
  <c r="AD60" i="40"/>
  <c r="AC60" i="40" s="1"/>
  <c r="AD62" i="40"/>
  <c r="AC62" i="40" s="1"/>
  <c r="AD68" i="40"/>
  <c r="AC68" i="40" s="1"/>
  <c r="BF68" i="40" s="1"/>
  <c r="O34" i="41" s="1"/>
  <c r="AD59" i="40"/>
  <c r="AC59" i="40" s="1"/>
  <c r="AD63" i="40"/>
  <c r="AC63" i="40" s="1"/>
  <c r="AD67" i="40"/>
  <c r="AC67" i="40" s="1"/>
  <c r="BF67" i="40" s="1"/>
  <c r="O33" i="41" s="1"/>
  <c r="AD64" i="40"/>
  <c r="AC64" i="40" s="1"/>
  <c r="V60" i="40"/>
  <c r="V63" i="40"/>
  <c r="BH57" i="40"/>
  <c r="BI57" i="40" s="1"/>
  <c r="AZ57" i="40" s="1"/>
  <c r="AY57" i="40" s="1"/>
  <c r="BH58" i="40"/>
  <c r="BI58" i="40" s="1"/>
  <c r="AZ58" i="40" s="1"/>
  <c r="AY58" i="40" s="1"/>
  <c r="BH59" i="40"/>
  <c r="BI59" i="40" s="1"/>
  <c r="AZ59" i="40" s="1"/>
  <c r="AY59" i="40" s="1"/>
  <c r="BF59" i="40" s="1"/>
  <c r="O25" i="41" s="1"/>
  <c r="BH60" i="40"/>
  <c r="BI60" i="40" s="1"/>
  <c r="AZ60" i="40" s="1"/>
  <c r="AY60" i="40" s="1"/>
  <c r="BF60" i="40" s="1"/>
  <c r="O26" i="41" s="1"/>
  <c r="BH61" i="40"/>
  <c r="BI61" i="40" s="1"/>
  <c r="AZ61" i="40" s="1"/>
  <c r="AY61" i="40" s="1"/>
  <c r="BF61" i="40" s="1"/>
  <c r="O27" i="41" s="1"/>
  <c r="BH62" i="40"/>
  <c r="BI62" i="40" s="1"/>
  <c r="AZ62" i="40" s="1"/>
  <c r="AY62" i="40" s="1"/>
  <c r="BH63" i="40"/>
  <c r="BI63" i="40" s="1"/>
  <c r="AZ63" i="40" s="1"/>
  <c r="AY63" i="40" s="1"/>
  <c r="BH64" i="40"/>
  <c r="BI64" i="40" s="1"/>
  <c r="AZ64" i="40" s="1"/>
  <c r="AY64" i="40" s="1"/>
  <c r="BH65" i="40"/>
  <c r="BI65" i="40" s="1"/>
  <c r="AZ65" i="40" s="1"/>
  <c r="AY65" i="40" s="1"/>
  <c r="BH66" i="40"/>
  <c r="BI66" i="40" s="1"/>
  <c r="AZ66" i="40" s="1"/>
  <c r="AY66" i="40" s="1"/>
  <c r="K59" i="40"/>
  <c r="J59" i="40" s="1"/>
  <c r="K63" i="40"/>
  <c r="J63" i="40" s="1"/>
  <c r="K67" i="40"/>
  <c r="J67" i="40" s="1"/>
  <c r="K66" i="40"/>
  <c r="J66" i="40" s="1"/>
  <c r="K60" i="40"/>
  <c r="J60" i="40" s="1"/>
  <c r="K64" i="40"/>
  <c r="J64" i="40" s="1"/>
  <c r="K68" i="40"/>
  <c r="J68" i="40" s="1"/>
  <c r="K62" i="40"/>
  <c r="J62" i="40" s="1"/>
  <c r="K61" i="40"/>
  <c r="J61" i="40" s="1"/>
  <c r="K65" i="40"/>
  <c r="J65" i="40" s="1"/>
  <c r="V68" i="40"/>
  <c r="V62" i="40"/>
  <c r="V61" i="40"/>
  <c r="K37" i="40"/>
  <c r="J37" i="40" s="1"/>
  <c r="K11" i="40"/>
  <c r="K20" i="40"/>
  <c r="J20" i="40" s="1"/>
  <c r="K41" i="40"/>
  <c r="K49" i="40"/>
  <c r="K23" i="40"/>
  <c r="K25" i="40"/>
  <c r="K47" i="40"/>
  <c r="K29" i="40"/>
  <c r="K14" i="40"/>
  <c r="K39" i="40"/>
  <c r="J39" i="40" s="1"/>
  <c r="K48" i="40"/>
  <c r="K32" i="40"/>
  <c r="K54" i="40"/>
  <c r="K30" i="40"/>
  <c r="K18" i="40"/>
  <c r="J18" i="40" s="1"/>
  <c r="K55" i="40"/>
  <c r="J55" i="40" s="1"/>
  <c r="K51" i="40"/>
  <c r="J51" i="40" s="1"/>
  <c r="K40" i="40"/>
  <c r="K15" i="40"/>
  <c r="K45" i="40"/>
  <c r="J45" i="40" s="1"/>
  <c r="K17" i="40"/>
  <c r="K31" i="40"/>
  <c r="J31" i="40" s="1"/>
  <c r="K44" i="40"/>
  <c r="J44" i="40" s="1"/>
  <c r="K36" i="40"/>
  <c r="K9" i="40"/>
  <c r="K46" i="40"/>
  <c r="J46" i="40" s="1"/>
  <c r="K34" i="40"/>
  <c r="J34" i="40" s="1"/>
  <c r="K43" i="40"/>
  <c r="K52" i="40"/>
  <c r="K12" i="40"/>
  <c r="J12" i="40" s="1"/>
  <c r="K50" i="40"/>
  <c r="J50" i="40" s="1"/>
  <c r="K28" i="40"/>
  <c r="K33" i="40"/>
  <c r="K21" i="40"/>
  <c r="K38" i="40"/>
  <c r="K10" i="40"/>
  <c r="K56" i="40"/>
  <c r="K19" i="40"/>
  <c r="J19" i="40" s="1"/>
  <c r="K35" i="40"/>
  <c r="J35" i="40" s="1"/>
  <c r="K16" i="40"/>
  <c r="K26" i="40"/>
  <c r="K42" i="40"/>
  <c r="K13" i="40"/>
  <c r="J13" i="40" s="1"/>
  <c r="K27" i="40"/>
  <c r="K53" i="40"/>
  <c r="J53" i="40" s="1"/>
  <c r="K24" i="40"/>
  <c r="K22" i="40"/>
  <c r="J22" i="40" s="1"/>
  <c r="BH10" i="40"/>
  <c r="BI10" i="40" s="1"/>
  <c r="AZ10" i="40" s="1"/>
  <c r="AY10" i="40" s="1"/>
  <c r="BH9" i="40"/>
  <c r="BI9" i="40" s="1"/>
  <c r="AZ9" i="40" s="1"/>
  <c r="AY9" i="40" s="1"/>
  <c r="BH21" i="40"/>
  <c r="BI21" i="40" s="1"/>
  <c r="AZ21" i="40" s="1"/>
  <c r="AY21" i="40" s="1"/>
  <c r="BH22" i="40"/>
  <c r="BI22" i="40" s="1"/>
  <c r="AZ22" i="40" s="1"/>
  <c r="AY22" i="40" s="1"/>
  <c r="BH33" i="40"/>
  <c r="BI33" i="40" s="1"/>
  <c r="AZ33" i="40" s="1"/>
  <c r="AY33" i="40" s="1"/>
  <c r="BH34" i="40"/>
  <c r="BI34" i="40" s="1"/>
  <c r="AZ34" i="40" s="1"/>
  <c r="AY34" i="40" s="1"/>
  <c r="BH45" i="40"/>
  <c r="BI45" i="40" s="1"/>
  <c r="AZ45" i="40" s="1"/>
  <c r="AY45" i="40" s="1"/>
  <c r="BH46" i="40"/>
  <c r="BI46" i="40" s="1"/>
  <c r="AZ46" i="40" s="1"/>
  <c r="AY46" i="40" s="1"/>
  <c r="AD10" i="40"/>
  <c r="AC10" i="40" s="1"/>
  <c r="AD9" i="40"/>
  <c r="AC9" i="40" s="1"/>
  <c r="BH38" i="40"/>
  <c r="BI38" i="40" s="1"/>
  <c r="AZ38" i="40" s="1"/>
  <c r="AY38" i="40" s="1"/>
  <c r="BH54" i="40"/>
  <c r="BI54" i="40" s="1"/>
  <c r="AZ54" i="40" s="1"/>
  <c r="AY54" i="40" s="1"/>
  <c r="BH15" i="40"/>
  <c r="BI15" i="40" s="1"/>
  <c r="AZ15" i="40" s="1"/>
  <c r="AY15" i="40" s="1"/>
  <c r="BH29" i="40"/>
  <c r="BI29" i="40" s="1"/>
  <c r="AZ29" i="40" s="1"/>
  <c r="AY29" i="40" s="1"/>
  <c r="BH14" i="40"/>
  <c r="BI14" i="40" s="1"/>
  <c r="AZ14" i="40" s="1"/>
  <c r="AY14" i="40" s="1"/>
  <c r="BH26" i="40"/>
  <c r="BI26" i="40" s="1"/>
  <c r="AZ26" i="40" s="1"/>
  <c r="AY26" i="40" s="1"/>
  <c r="BH25" i="40"/>
  <c r="BI25" i="40" s="1"/>
  <c r="AZ25" i="40" s="1"/>
  <c r="AY25" i="40" s="1"/>
  <c r="BH31" i="40"/>
  <c r="BI31" i="40" s="1"/>
  <c r="AZ31" i="40" s="1"/>
  <c r="AY31" i="40" s="1"/>
  <c r="BH42" i="40"/>
  <c r="BI42" i="40" s="1"/>
  <c r="AZ42" i="40" s="1"/>
  <c r="AY42" i="40" s="1"/>
  <c r="BH23" i="40"/>
  <c r="BI23" i="40" s="1"/>
  <c r="AZ23" i="40" s="1"/>
  <c r="AY23" i="40" s="1"/>
  <c r="BH11" i="40"/>
  <c r="BI11" i="40" s="1"/>
  <c r="BH19" i="40"/>
  <c r="BI19" i="40" s="1"/>
  <c r="AZ19" i="40" s="1"/>
  <c r="AY19" i="40" s="1"/>
  <c r="BH35" i="40"/>
  <c r="BI35" i="40" s="1"/>
  <c r="AZ35" i="40" s="1"/>
  <c r="AY35" i="40" s="1"/>
  <c r="BH55" i="40"/>
  <c r="BI55" i="40" s="1"/>
  <c r="AZ55" i="40" s="1"/>
  <c r="AY55" i="40" s="1"/>
  <c r="BH17" i="40"/>
  <c r="BI17" i="40" s="1"/>
  <c r="AZ17" i="40" s="1"/>
  <c r="AY17" i="40" s="1"/>
  <c r="BH27" i="40"/>
  <c r="BI27" i="40" s="1"/>
  <c r="AZ27" i="40" s="1"/>
  <c r="AY27" i="40" s="1"/>
  <c r="BH32" i="40"/>
  <c r="BI32" i="40" s="1"/>
  <c r="AZ32" i="40" s="1"/>
  <c r="AY32" i="40" s="1"/>
  <c r="BH44" i="40"/>
  <c r="BI44" i="40" s="1"/>
  <c r="AZ44" i="40" s="1"/>
  <c r="AY44" i="40" s="1"/>
  <c r="BH16" i="40"/>
  <c r="BI16" i="40" s="1"/>
  <c r="AZ16" i="40" s="1"/>
  <c r="AY16" i="40" s="1"/>
  <c r="BH37" i="40"/>
  <c r="BI37" i="40" s="1"/>
  <c r="AZ37" i="40" s="1"/>
  <c r="AY37" i="40" s="1"/>
  <c r="BH28" i="40"/>
  <c r="BI28" i="40" s="1"/>
  <c r="AZ28" i="40" s="1"/>
  <c r="AY28" i="40" s="1"/>
  <c r="BH56" i="40"/>
  <c r="BI56" i="40" s="1"/>
  <c r="AZ56" i="40" s="1"/>
  <c r="AY56" i="40" s="1"/>
  <c r="BH36" i="40"/>
  <c r="BI36" i="40" s="1"/>
  <c r="AZ36" i="40" s="1"/>
  <c r="AY36" i="40" s="1"/>
  <c r="BH43" i="40"/>
  <c r="BI43" i="40" s="1"/>
  <c r="AZ43" i="40" s="1"/>
  <c r="AY43" i="40" s="1"/>
  <c r="BH53" i="40"/>
  <c r="BI53" i="40" s="1"/>
  <c r="AZ53" i="40" s="1"/>
  <c r="AY53" i="40" s="1"/>
  <c r="BH40" i="40"/>
  <c r="BI40" i="40" s="1"/>
  <c r="AZ40" i="40" s="1"/>
  <c r="AY40" i="40" s="1"/>
  <c r="BH12" i="40"/>
  <c r="BI12" i="40" s="1"/>
  <c r="AZ12" i="40" s="1"/>
  <c r="AY12" i="40" s="1"/>
  <c r="BH24" i="40"/>
  <c r="BI24" i="40" s="1"/>
  <c r="AZ24" i="40" s="1"/>
  <c r="AY24" i="40" s="1"/>
  <c r="BH39" i="40"/>
  <c r="BI39" i="40" s="1"/>
  <c r="AZ39" i="40" s="1"/>
  <c r="AY39" i="40" s="1"/>
  <c r="BH51" i="40"/>
  <c r="BI51" i="40" s="1"/>
  <c r="AZ51" i="40" s="1"/>
  <c r="AY51" i="40" s="1"/>
  <c r="BH30" i="40"/>
  <c r="BI30" i="40" s="1"/>
  <c r="AZ30" i="40" s="1"/>
  <c r="AY30" i="40" s="1"/>
  <c r="BH18" i="40"/>
  <c r="BI18" i="40" s="1"/>
  <c r="AZ18" i="40" s="1"/>
  <c r="AY18" i="40" s="1"/>
  <c r="BH48" i="40"/>
  <c r="BI48" i="40" s="1"/>
  <c r="AZ48" i="40" s="1"/>
  <c r="AY48" i="40" s="1"/>
  <c r="BH13" i="40"/>
  <c r="BI13" i="40" s="1"/>
  <c r="AZ13" i="40" s="1"/>
  <c r="AY13" i="40" s="1"/>
  <c r="BH50" i="40"/>
  <c r="BI50" i="40" s="1"/>
  <c r="AZ50" i="40" s="1"/>
  <c r="AY50" i="40" s="1"/>
  <c r="BH41" i="40"/>
  <c r="BI41" i="40" s="1"/>
  <c r="AZ41" i="40" s="1"/>
  <c r="AY41" i="40" s="1"/>
  <c r="BH52" i="40"/>
  <c r="BI52" i="40" s="1"/>
  <c r="AZ52" i="40" s="1"/>
  <c r="AY52" i="40" s="1"/>
  <c r="BH49" i="40"/>
  <c r="BI49" i="40" s="1"/>
  <c r="AZ49" i="40" s="1"/>
  <c r="AY49" i="40" s="1"/>
  <c r="BH20" i="40"/>
  <c r="BI20" i="40" s="1"/>
  <c r="AZ20" i="40" s="1"/>
  <c r="AY20" i="40" s="1"/>
  <c r="BH47" i="40"/>
  <c r="BI47" i="40" s="1"/>
  <c r="AZ47" i="40" s="1"/>
  <c r="AY47" i="40" s="1"/>
  <c r="V10" i="40"/>
  <c r="V38" i="40"/>
  <c r="V17" i="40"/>
  <c r="V43" i="40"/>
  <c r="V27" i="40"/>
  <c r="V29" i="40"/>
  <c r="V12" i="40"/>
  <c r="V54" i="40"/>
  <c r="V52" i="40"/>
  <c r="V22" i="40"/>
  <c r="V45" i="40"/>
  <c r="V37" i="40"/>
  <c r="AD21" i="40"/>
  <c r="AC21" i="40" s="1"/>
  <c r="AD14" i="40"/>
  <c r="AC14" i="40" s="1"/>
  <c r="AD41" i="40"/>
  <c r="AC41" i="40" s="1"/>
  <c r="AD42" i="40"/>
  <c r="AC42" i="40" s="1"/>
  <c r="AD49" i="40"/>
  <c r="AC49" i="40" s="1"/>
  <c r="AD29" i="40"/>
  <c r="AC29" i="40" s="1"/>
  <c r="AD48" i="40"/>
  <c r="AC48" i="40" s="1"/>
  <c r="AD22" i="40"/>
  <c r="AC22" i="40" s="1"/>
  <c r="AD45" i="40"/>
  <c r="AC45" i="40" s="1"/>
  <c r="AD32" i="40"/>
  <c r="AC32" i="40" s="1"/>
  <c r="AD16" i="40"/>
  <c r="AC16" i="40" s="1"/>
  <c r="AD35" i="40"/>
  <c r="AC35" i="40" s="1"/>
  <c r="AD11" i="40"/>
  <c r="AC11" i="40" s="1"/>
  <c r="AD53" i="40"/>
  <c r="AC53" i="40" s="1"/>
  <c r="AD25" i="40"/>
  <c r="AC25" i="40" s="1"/>
  <c r="AD19" i="40"/>
  <c r="AC19" i="40" s="1"/>
  <c r="AD13" i="40"/>
  <c r="AC13" i="40" s="1"/>
  <c r="AD23" i="40"/>
  <c r="AC23" i="40" s="1"/>
  <c r="AD28" i="40"/>
  <c r="AC28" i="40" s="1"/>
  <c r="AD55" i="40"/>
  <c r="AC55" i="40" s="1"/>
  <c r="AD34" i="40"/>
  <c r="AC34" i="40" s="1"/>
  <c r="AD27" i="40"/>
  <c r="AC27" i="40" s="1"/>
  <c r="AD54" i="40"/>
  <c r="AC54" i="40" s="1"/>
  <c r="AD46" i="40"/>
  <c r="AC46" i="40" s="1"/>
  <c r="AD58" i="40"/>
  <c r="AC58" i="40" s="1"/>
  <c r="AD18" i="40"/>
  <c r="AC18" i="40" s="1"/>
  <c r="AD33" i="40"/>
  <c r="AC33" i="40" s="1"/>
  <c r="AD50" i="40"/>
  <c r="AC50" i="40" s="1"/>
  <c r="AD38" i="40"/>
  <c r="AC38" i="40" s="1"/>
  <c r="AD44" i="40"/>
  <c r="AC44" i="40" s="1"/>
  <c r="AD52" i="40"/>
  <c r="AC52" i="40" s="1"/>
  <c r="AD43" i="40"/>
  <c r="AC43" i="40" s="1"/>
  <c r="AD31" i="40"/>
  <c r="AC31" i="40" s="1"/>
  <c r="AD17" i="40"/>
  <c r="AC17" i="40" s="1"/>
  <c r="AD47" i="40"/>
  <c r="AC47" i="40" s="1"/>
  <c r="AD12" i="40"/>
  <c r="AC12" i="40" s="1"/>
  <c r="AD39" i="40"/>
  <c r="AC39" i="40" s="1"/>
  <c r="AD26" i="40"/>
  <c r="AC26" i="40" s="1"/>
  <c r="AD57" i="40"/>
  <c r="AC57" i="40" s="1"/>
  <c r="AD36" i="40"/>
  <c r="AC36" i="40" s="1"/>
  <c r="AD51" i="40"/>
  <c r="AC51" i="40" s="1"/>
  <c r="AD24" i="40"/>
  <c r="AC24" i="40" s="1"/>
  <c r="AJ5" i="40"/>
  <c r="AD15" i="40"/>
  <c r="AC15" i="40" s="1"/>
  <c r="AD56" i="40"/>
  <c r="AC56" i="40" s="1"/>
  <c r="AD20" i="40"/>
  <c r="AC20" i="40" s="1"/>
  <c r="AD30" i="40"/>
  <c r="AC30" i="40" s="1"/>
  <c r="AD40" i="40"/>
  <c r="AC40" i="40" s="1"/>
  <c r="AD37" i="40"/>
  <c r="AC37" i="40" s="1"/>
  <c r="V47" i="40"/>
  <c r="V26" i="40"/>
  <c r="V32" i="40"/>
  <c r="V41" i="40"/>
  <c r="V14" i="40"/>
  <c r="V42" i="40"/>
  <c r="V53" i="40"/>
  <c r="V16" i="40"/>
  <c r="V57" i="40"/>
  <c r="V24" i="40"/>
  <c r="V11" i="40"/>
  <c r="V30" i="40"/>
  <c r="M58" i="40"/>
  <c r="V9" i="40"/>
  <c r="T81" i="40"/>
  <c r="V13" i="40"/>
  <c r="V20" i="40"/>
  <c r="V18" i="40"/>
  <c r="V40" i="40"/>
  <c r="V46" i="40"/>
  <c r="V48" i="40"/>
  <c r="V39" i="40"/>
  <c r="V28" i="40"/>
  <c r="V44" i="40"/>
  <c r="V23" i="40"/>
  <c r="V55" i="40"/>
  <c r="V33" i="40"/>
  <c r="M57" i="40"/>
  <c r="V58" i="40"/>
  <c r="V35" i="40"/>
  <c r="V51" i="40"/>
  <c r="V21" i="40"/>
  <c r="V50" i="40"/>
  <c r="V31" i="40"/>
  <c r="V49" i="40"/>
  <c r="V36" i="40"/>
  <c r="V25" i="40"/>
  <c r="V19" i="40"/>
  <c r="V56" i="40"/>
  <c r="V15" i="40"/>
  <c r="V34" i="40"/>
  <c r="S81" i="40" l="1"/>
  <c r="AY77" i="40"/>
  <c r="BF77" i="40" s="1"/>
  <c r="BB77" i="40"/>
  <c r="AY69" i="40"/>
  <c r="BF69" i="40" s="1"/>
  <c r="BB69" i="40"/>
  <c r="J79" i="40"/>
  <c r="M79" i="40"/>
  <c r="J71" i="40"/>
  <c r="M71" i="40"/>
  <c r="AY80" i="40"/>
  <c r="BF80" i="40" s="1"/>
  <c r="BB80" i="40"/>
  <c r="AY76" i="40"/>
  <c r="BF76" i="40" s="1"/>
  <c r="BB76" i="40"/>
  <c r="AY72" i="40"/>
  <c r="BF72" i="40" s="1"/>
  <c r="BB72" i="40"/>
  <c r="J78" i="40"/>
  <c r="M78" i="40"/>
  <c r="J74" i="40"/>
  <c r="M74" i="40"/>
  <c r="J70" i="40"/>
  <c r="M70" i="40"/>
  <c r="BF52" i="40"/>
  <c r="O18" i="41" s="1"/>
  <c r="BF48" i="40"/>
  <c r="O14" i="41" s="1"/>
  <c r="BF66" i="40"/>
  <c r="O32" i="41" s="1"/>
  <c r="AY79" i="40"/>
  <c r="BF79" i="40" s="1"/>
  <c r="BB79" i="40"/>
  <c r="AY75" i="40"/>
  <c r="BF75" i="40" s="1"/>
  <c r="BB75" i="40"/>
  <c r="AY71" i="40"/>
  <c r="BF71" i="40" s="1"/>
  <c r="BB71" i="40"/>
  <c r="J77" i="40"/>
  <c r="M77" i="40"/>
  <c r="J73" i="40"/>
  <c r="M73" i="40"/>
  <c r="J69" i="40"/>
  <c r="M69" i="40"/>
  <c r="AN71" i="40"/>
  <c r="AN72" i="40"/>
  <c r="AN73" i="40"/>
  <c r="AN74" i="40"/>
  <c r="AN75" i="40"/>
  <c r="AN76" i="40"/>
  <c r="AN77" i="40"/>
  <c r="AN78" i="40"/>
  <c r="AN79" i="40"/>
  <c r="AN80" i="40"/>
  <c r="AN81" i="40"/>
  <c r="AN82" i="40"/>
  <c r="AY73" i="40"/>
  <c r="BF73" i="40" s="1"/>
  <c r="BB73" i="40"/>
  <c r="J75" i="40"/>
  <c r="M75" i="40"/>
  <c r="AY78" i="40"/>
  <c r="BF78" i="40" s="1"/>
  <c r="BB78" i="40"/>
  <c r="AY74" i="40"/>
  <c r="BF74" i="40" s="1"/>
  <c r="BB74" i="40"/>
  <c r="AY70" i="40"/>
  <c r="BF70" i="40" s="1"/>
  <c r="BB70" i="40"/>
  <c r="J80" i="40"/>
  <c r="M80" i="40"/>
  <c r="J76" i="40"/>
  <c r="M76" i="40"/>
  <c r="J72" i="40"/>
  <c r="M72" i="40"/>
  <c r="BF63" i="40"/>
  <c r="O29" i="41" s="1"/>
  <c r="BF28" i="40"/>
  <c r="G24" i="41" s="1"/>
  <c r="BF62" i="40"/>
  <c r="O28" i="41" s="1"/>
  <c r="BF41" i="40"/>
  <c r="O7" i="41" s="1"/>
  <c r="BF35" i="40"/>
  <c r="G31" i="41" s="1"/>
  <c r="BF42" i="40"/>
  <c r="O8" i="41" s="1"/>
  <c r="BF40" i="40"/>
  <c r="O6" i="41" s="1"/>
  <c r="BF47" i="40"/>
  <c r="O13" i="41" s="1"/>
  <c r="BF53" i="40"/>
  <c r="O19" i="41" s="1"/>
  <c r="BF32" i="40"/>
  <c r="G28" i="41" s="1"/>
  <c r="BF14" i="40"/>
  <c r="G10" i="41" s="1"/>
  <c r="BF45" i="40"/>
  <c r="O11" i="41" s="1"/>
  <c r="BF58" i="40"/>
  <c r="O24" i="41" s="1"/>
  <c r="BF18" i="40"/>
  <c r="G14" i="41" s="1"/>
  <c r="BF24" i="40"/>
  <c r="G20" i="41" s="1"/>
  <c r="BF43" i="40"/>
  <c r="O9" i="41" s="1"/>
  <c r="BF37" i="40"/>
  <c r="G33" i="41" s="1"/>
  <c r="BF27" i="40"/>
  <c r="G23" i="41" s="1"/>
  <c r="BF19" i="40"/>
  <c r="G15" i="41" s="1"/>
  <c r="BF31" i="40"/>
  <c r="G27" i="41" s="1"/>
  <c r="BF29" i="40"/>
  <c r="G25" i="41" s="1"/>
  <c r="BF34" i="40"/>
  <c r="G30" i="41" s="1"/>
  <c r="BF9" i="40"/>
  <c r="G5" i="41" s="1"/>
  <c r="BF65" i="40"/>
  <c r="O31" i="41" s="1"/>
  <c r="BF57" i="40"/>
  <c r="O23" i="41" s="1"/>
  <c r="BF39" i="40"/>
  <c r="O5" i="41" s="1"/>
  <c r="BF38" i="40"/>
  <c r="G34" i="41" s="1"/>
  <c r="BF21" i="40"/>
  <c r="G17" i="41" s="1"/>
  <c r="BF20" i="40"/>
  <c r="G16" i="41" s="1"/>
  <c r="BF50" i="40"/>
  <c r="O16" i="41" s="1"/>
  <c r="BF30" i="40"/>
  <c r="G26" i="41" s="1"/>
  <c r="BF12" i="40"/>
  <c r="G8" i="41" s="1"/>
  <c r="BF36" i="40"/>
  <c r="G32" i="41" s="1"/>
  <c r="BF16" i="40"/>
  <c r="G12" i="41" s="1"/>
  <c r="BF17" i="40"/>
  <c r="G13" i="41" s="1"/>
  <c r="BF25" i="40"/>
  <c r="G21" i="41" s="1"/>
  <c r="BF15" i="40"/>
  <c r="G11" i="41" s="1"/>
  <c r="BF33" i="40"/>
  <c r="G29" i="41" s="1"/>
  <c r="BF10" i="40"/>
  <c r="G6" i="41" s="1"/>
  <c r="BF64" i="40"/>
  <c r="O30" i="41" s="1"/>
  <c r="BF49" i="40"/>
  <c r="O15" i="41" s="1"/>
  <c r="BF13" i="40"/>
  <c r="G9" i="41" s="1"/>
  <c r="BF51" i="40"/>
  <c r="O17" i="41" s="1"/>
  <c r="BF56" i="40"/>
  <c r="O22" i="41" s="1"/>
  <c r="BF44" i="40"/>
  <c r="O10" i="41" s="1"/>
  <c r="BF55" i="40"/>
  <c r="O21" i="41" s="1"/>
  <c r="BF23" i="40"/>
  <c r="G19" i="41" s="1"/>
  <c r="BF26" i="40"/>
  <c r="G22" i="41" s="1"/>
  <c r="BF54" i="40"/>
  <c r="O20" i="41" s="1"/>
  <c r="BF46" i="40"/>
  <c r="O12" i="41" s="1"/>
  <c r="BF22" i="40"/>
  <c r="G18" i="41" s="1"/>
  <c r="M37" i="40"/>
  <c r="M45" i="40"/>
  <c r="M53" i="40"/>
  <c r="M55" i="40"/>
  <c r="M24" i="40"/>
  <c r="J24" i="40"/>
  <c r="M42" i="40"/>
  <c r="J42" i="40"/>
  <c r="M40" i="40"/>
  <c r="J40" i="40"/>
  <c r="M30" i="40"/>
  <c r="J30" i="40"/>
  <c r="AC81" i="40"/>
  <c r="M26" i="40"/>
  <c r="J26" i="40"/>
  <c r="M56" i="40"/>
  <c r="J56" i="40"/>
  <c r="M33" i="40"/>
  <c r="J33" i="40"/>
  <c r="M52" i="40"/>
  <c r="J52" i="40"/>
  <c r="M9" i="40"/>
  <c r="J9" i="40"/>
  <c r="M17" i="40"/>
  <c r="J17" i="40"/>
  <c r="M54" i="40"/>
  <c r="J54" i="40"/>
  <c r="M14" i="40"/>
  <c r="J14" i="40"/>
  <c r="M23" i="40"/>
  <c r="J23" i="40"/>
  <c r="M11" i="40"/>
  <c r="J11" i="40"/>
  <c r="M27" i="40"/>
  <c r="J27" i="40"/>
  <c r="M16" i="40"/>
  <c r="J16" i="40"/>
  <c r="M10" i="40"/>
  <c r="J10" i="40"/>
  <c r="M28" i="40"/>
  <c r="J28" i="40"/>
  <c r="M43" i="40"/>
  <c r="J43" i="40"/>
  <c r="M36" i="40"/>
  <c r="J36" i="40"/>
  <c r="M32" i="40"/>
  <c r="J32" i="40"/>
  <c r="M29" i="40"/>
  <c r="J29" i="40"/>
  <c r="M49" i="40"/>
  <c r="J49" i="40"/>
  <c r="M21" i="40"/>
  <c r="J21" i="40"/>
  <c r="M25" i="40"/>
  <c r="J25" i="40"/>
  <c r="M38" i="40"/>
  <c r="J38" i="40"/>
  <c r="M15" i="40"/>
  <c r="J15" i="40"/>
  <c r="M48" i="40"/>
  <c r="J48" i="40"/>
  <c r="M47" i="40"/>
  <c r="J47" i="40"/>
  <c r="M41" i="40"/>
  <c r="J41" i="40"/>
  <c r="M64" i="40"/>
  <c r="M63" i="40"/>
  <c r="BB60" i="40"/>
  <c r="AF65" i="40"/>
  <c r="M51" i="40"/>
  <c r="M65" i="40"/>
  <c r="BB64" i="40"/>
  <c r="AF64" i="40"/>
  <c r="AF68" i="40"/>
  <c r="M61" i="40"/>
  <c r="M60" i="40"/>
  <c r="M59" i="40"/>
  <c r="BB63" i="40"/>
  <c r="BB59" i="40"/>
  <c r="AF67" i="40"/>
  <c r="AF62" i="40"/>
  <c r="AF61" i="40"/>
  <c r="M62" i="40"/>
  <c r="M66" i="40"/>
  <c r="BB66" i="40"/>
  <c r="BB62" i="40"/>
  <c r="BB58" i="40"/>
  <c r="AF63" i="40"/>
  <c r="AF60" i="40"/>
  <c r="AN61" i="40"/>
  <c r="AM61" i="40" s="1"/>
  <c r="AN65" i="40"/>
  <c r="AM65" i="40" s="1"/>
  <c r="AN69" i="40"/>
  <c r="AM69" i="40" s="1"/>
  <c r="AN62" i="40"/>
  <c r="AM62" i="40" s="1"/>
  <c r="AN66" i="40"/>
  <c r="AM66" i="40" s="1"/>
  <c r="AN70" i="40"/>
  <c r="AM70" i="40" s="1"/>
  <c r="AN64" i="40"/>
  <c r="AM64" i="40" s="1"/>
  <c r="AN68" i="40"/>
  <c r="AM68" i="40" s="1"/>
  <c r="AN63" i="40"/>
  <c r="AM63" i="40" s="1"/>
  <c r="AN67" i="40"/>
  <c r="AM67" i="40" s="1"/>
  <c r="M68" i="40"/>
  <c r="M67" i="40"/>
  <c r="BB65" i="40"/>
  <c r="BB61" i="40"/>
  <c r="BB57" i="40"/>
  <c r="AF59" i="40"/>
  <c r="AF66" i="40"/>
  <c r="M19" i="40"/>
  <c r="M39" i="40"/>
  <c r="M31" i="40"/>
  <c r="M46" i="40"/>
  <c r="M12" i="40"/>
  <c r="M20" i="40"/>
  <c r="M13" i="40"/>
  <c r="M35" i="40"/>
  <c r="M22" i="40"/>
  <c r="M50" i="40"/>
  <c r="M44" i="40"/>
  <c r="K81" i="40"/>
  <c r="M34" i="40"/>
  <c r="M18" i="40"/>
  <c r="AN11" i="40"/>
  <c r="AM11" i="40" s="1"/>
  <c r="AN12" i="40"/>
  <c r="AM12" i="40" s="1"/>
  <c r="BB45" i="40"/>
  <c r="BB21" i="40"/>
  <c r="BB46" i="40"/>
  <c r="AF9" i="40"/>
  <c r="BB34" i="40"/>
  <c r="BB9" i="40"/>
  <c r="BB22" i="40"/>
  <c r="AF10" i="40"/>
  <c r="BB33" i="40"/>
  <c r="BB10" i="40"/>
  <c r="V81" i="40"/>
  <c r="P111" i="40" s="1"/>
  <c r="P112" i="40" s="1"/>
  <c r="Q5" i="40"/>
  <c r="W9" i="40" s="1"/>
  <c r="AF37" i="40"/>
  <c r="AF56" i="40"/>
  <c r="AF51" i="40"/>
  <c r="AF39" i="40"/>
  <c r="AF31" i="40"/>
  <c r="AF38" i="40"/>
  <c r="AF58" i="40"/>
  <c r="AF34" i="40"/>
  <c r="AF13" i="40"/>
  <c r="AF11" i="40"/>
  <c r="AD81" i="40"/>
  <c r="AF45" i="40"/>
  <c r="AF49" i="40"/>
  <c r="AF21" i="40"/>
  <c r="BB47" i="40"/>
  <c r="BB41" i="40"/>
  <c r="BB18" i="40"/>
  <c r="BB24" i="40"/>
  <c r="BB43" i="40"/>
  <c r="BB37" i="40"/>
  <c r="BB27" i="40"/>
  <c r="BB19" i="40"/>
  <c r="BB31" i="40"/>
  <c r="BB29" i="40"/>
  <c r="AF40" i="40"/>
  <c r="AF15" i="40"/>
  <c r="AF36" i="40"/>
  <c r="AF12" i="40"/>
  <c r="AF43" i="40"/>
  <c r="AF50" i="40"/>
  <c r="AF46" i="40"/>
  <c r="AF55" i="40"/>
  <c r="AF19" i="40"/>
  <c r="AF35" i="40"/>
  <c r="AF22" i="40"/>
  <c r="AF42" i="40"/>
  <c r="BB20" i="40"/>
  <c r="BB50" i="40"/>
  <c r="BB30" i="40"/>
  <c r="BB12" i="40"/>
  <c r="BB36" i="40"/>
  <c r="BB16" i="40"/>
  <c r="BB17" i="40"/>
  <c r="BI81" i="40"/>
  <c r="AZ11" i="40"/>
  <c r="AY11" i="40" s="1"/>
  <c r="BF11" i="40" s="1"/>
  <c r="BB25" i="40"/>
  <c r="BB15" i="40"/>
  <c r="AF30" i="40"/>
  <c r="AK5" i="40"/>
  <c r="AN55" i="40"/>
  <c r="AM55" i="40" s="1"/>
  <c r="AN53" i="40"/>
  <c r="AM53" i="40" s="1"/>
  <c r="AN15" i="40"/>
  <c r="AM15" i="40" s="1"/>
  <c r="AN31" i="40"/>
  <c r="AM31" i="40" s="1"/>
  <c r="AN32" i="40"/>
  <c r="AM32" i="40" s="1"/>
  <c r="AN52" i="40"/>
  <c r="AM52" i="40" s="1"/>
  <c r="AN26" i="40"/>
  <c r="AM26" i="40" s="1"/>
  <c r="AN38" i="40"/>
  <c r="AM38" i="40" s="1"/>
  <c r="AN40" i="40"/>
  <c r="AM40" i="40" s="1"/>
  <c r="AN14" i="40"/>
  <c r="AM14" i="40" s="1"/>
  <c r="AN25" i="40"/>
  <c r="AM25" i="40" s="1"/>
  <c r="AN39" i="40"/>
  <c r="AM39" i="40" s="1"/>
  <c r="AN16" i="40"/>
  <c r="AM16" i="40" s="1"/>
  <c r="AN34" i="40"/>
  <c r="AM34" i="40" s="1"/>
  <c r="AN27" i="40"/>
  <c r="AM27" i="40" s="1"/>
  <c r="AN41" i="40"/>
  <c r="AM41" i="40" s="1"/>
  <c r="AN22" i="40"/>
  <c r="AM22" i="40" s="1"/>
  <c r="AN56" i="40"/>
  <c r="AM56" i="40" s="1"/>
  <c r="AN51" i="40"/>
  <c r="AM51" i="40" s="1"/>
  <c r="AN49" i="40"/>
  <c r="AM49" i="40" s="1"/>
  <c r="AN28" i="40"/>
  <c r="AM28" i="40" s="1"/>
  <c r="AN50" i="40"/>
  <c r="AM50" i="40" s="1"/>
  <c r="AN43" i="40"/>
  <c r="AM43" i="40" s="1"/>
  <c r="AN19" i="40"/>
  <c r="AM19" i="40" s="1"/>
  <c r="AN59" i="40"/>
  <c r="AM59" i="40" s="1"/>
  <c r="AN47" i="40"/>
  <c r="AM47" i="40" s="1"/>
  <c r="AN44" i="40"/>
  <c r="AM44" i="40" s="1"/>
  <c r="AN54" i="40"/>
  <c r="AM54" i="40" s="1"/>
  <c r="AN24" i="40"/>
  <c r="AM24" i="40" s="1"/>
  <c r="AN36" i="40"/>
  <c r="AM36" i="40" s="1"/>
  <c r="AN42" i="40"/>
  <c r="AM42" i="40" s="1"/>
  <c r="AN30" i="40"/>
  <c r="AM30" i="40" s="1"/>
  <c r="AN46" i="40"/>
  <c r="AM46" i="40" s="1"/>
  <c r="AN35" i="40"/>
  <c r="AM35" i="40" s="1"/>
  <c r="AN58" i="40"/>
  <c r="AM58" i="40" s="1"/>
  <c r="AN17" i="40"/>
  <c r="AM17" i="40" s="1"/>
  <c r="AN48" i="40"/>
  <c r="AM48" i="40" s="1"/>
  <c r="AN45" i="40"/>
  <c r="AM45" i="40" s="1"/>
  <c r="AN18" i="40"/>
  <c r="AM18" i="40" s="1"/>
  <c r="AN33" i="40"/>
  <c r="AM33" i="40" s="1"/>
  <c r="AN29" i="40"/>
  <c r="AM29" i="40" s="1"/>
  <c r="AN23" i="40"/>
  <c r="AM23" i="40" s="1"/>
  <c r="AN21" i="40"/>
  <c r="AM21" i="40" s="1"/>
  <c r="AN60" i="40"/>
  <c r="AM60" i="40" s="1"/>
  <c r="AN13" i="40"/>
  <c r="AM13" i="40" s="1"/>
  <c r="AN57" i="40"/>
  <c r="AM57" i="40" s="1"/>
  <c r="AN20" i="40"/>
  <c r="AM20" i="40" s="1"/>
  <c r="AN37" i="40"/>
  <c r="AM37" i="40" s="1"/>
  <c r="AM5" i="40"/>
  <c r="AN5" i="40" s="1"/>
  <c r="AF57" i="40"/>
  <c r="AF47" i="40"/>
  <c r="AF52" i="40"/>
  <c r="AF33" i="40"/>
  <c r="AF54" i="40"/>
  <c r="AF28" i="40"/>
  <c r="AF25" i="40"/>
  <c r="AF16" i="40"/>
  <c r="AF48" i="40"/>
  <c r="AF41" i="40"/>
  <c r="BB49" i="40"/>
  <c r="BB13" i="40"/>
  <c r="BB51" i="40"/>
  <c r="BB40" i="40"/>
  <c r="BB56" i="40"/>
  <c r="BB44" i="40"/>
  <c r="BB55" i="40"/>
  <c r="BB23" i="40"/>
  <c r="BB26" i="40"/>
  <c r="BB54" i="40"/>
  <c r="AF20" i="40"/>
  <c r="AF24" i="40"/>
  <c r="AF26" i="40"/>
  <c r="AF17" i="40"/>
  <c r="AF44" i="40"/>
  <c r="AF18" i="40"/>
  <c r="AF27" i="40"/>
  <c r="AF23" i="40"/>
  <c r="AF53" i="40"/>
  <c r="AF32" i="40"/>
  <c r="AF29" i="40"/>
  <c r="AF14" i="40"/>
  <c r="BB52" i="40"/>
  <c r="BB48" i="40"/>
  <c r="BB39" i="40"/>
  <c r="BB53" i="40"/>
  <c r="BB28" i="40"/>
  <c r="BB32" i="40"/>
  <c r="BB35" i="40"/>
  <c r="BB42" i="40"/>
  <c r="BB14" i="40"/>
  <c r="BB38" i="40"/>
  <c r="AM79" i="40" l="1"/>
  <c r="AP79" i="40"/>
  <c r="AM75" i="40"/>
  <c r="AP75" i="40"/>
  <c r="AM82" i="40"/>
  <c r="AP82" i="40"/>
  <c r="AM78" i="40"/>
  <c r="AP78" i="40"/>
  <c r="AM74" i="40"/>
  <c r="AP74" i="40"/>
  <c r="AM81" i="40"/>
  <c r="AP81" i="40"/>
  <c r="AM77" i="40"/>
  <c r="AP77" i="40"/>
  <c r="AM73" i="40"/>
  <c r="AP73" i="40"/>
  <c r="AM71" i="40"/>
  <c r="AP71" i="40"/>
  <c r="AM80" i="40"/>
  <c r="AP80" i="40"/>
  <c r="AM76" i="40"/>
  <c r="AP76" i="40"/>
  <c r="AM72" i="40"/>
  <c r="AP72" i="40"/>
  <c r="BF81" i="40"/>
  <c r="AU3" i="40" s="1"/>
  <c r="G7" i="41"/>
  <c r="O35" i="41" s="1"/>
  <c r="E21" i="50" s="1"/>
  <c r="AY81" i="40"/>
  <c r="J81" i="40"/>
  <c r="AP68" i="40"/>
  <c r="AP64" i="40"/>
  <c r="AP69" i="40"/>
  <c r="AP67" i="40"/>
  <c r="AP70" i="40"/>
  <c r="AP65" i="40"/>
  <c r="AP62" i="40"/>
  <c r="AP63" i="40"/>
  <c r="AP66" i="40"/>
  <c r="AP61" i="40"/>
  <c r="M81" i="40"/>
  <c r="H5" i="40"/>
  <c r="AP12" i="40"/>
  <c r="AP11" i="40"/>
  <c r="AF81" i="40"/>
  <c r="AA111" i="40" s="1"/>
  <c r="AA112" i="40" s="1"/>
  <c r="AA5" i="40"/>
  <c r="D286" i="28" s="1"/>
  <c r="AP37" i="40"/>
  <c r="AP60" i="40"/>
  <c r="AP33" i="40"/>
  <c r="AP17" i="40"/>
  <c r="AP30" i="40"/>
  <c r="AP54" i="40"/>
  <c r="AP19" i="40"/>
  <c r="AP49" i="40"/>
  <c r="AP41" i="40"/>
  <c r="AP39" i="40"/>
  <c r="AP38" i="40"/>
  <c r="AP31" i="40"/>
  <c r="AP20" i="40"/>
  <c r="AP21" i="40"/>
  <c r="AP18" i="40"/>
  <c r="AP58" i="40"/>
  <c r="AP42" i="40"/>
  <c r="AP44" i="40"/>
  <c r="AP43" i="40"/>
  <c r="AP51" i="40"/>
  <c r="AP27" i="40"/>
  <c r="AP25" i="40"/>
  <c r="AP26" i="40"/>
  <c r="AP15" i="40"/>
  <c r="BB11" i="40"/>
  <c r="AZ81" i="40"/>
  <c r="BB3" i="40" s="1"/>
  <c r="AP57" i="40"/>
  <c r="AP23" i="40"/>
  <c r="AP45" i="40"/>
  <c r="AP35" i="40"/>
  <c r="AP36" i="40"/>
  <c r="AP47" i="40"/>
  <c r="AP50" i="40"/>
  <c r="AP56" i="40"/>
  <c r="AP34" i="40"/>
  <c r="AP14" i="40"/>
  <c r="AP52" i="40"/>
  <c r="AP53" i="40"/>
  <c r="AP13" i="40"/>
  <c r="AN83" i="40"/>
  <c r="AO3" i="40" s="1"/>
  <c r="AP3" i="40" s="1"/>
  <c r="AQ3" i="40" s="1"/>
  <c r="AP29" i="40"/>
  <c r="AP48" i="40"/>
  <c r="AP46" i="40"/>
  <c r="AP24" i="40"/>
  <c r="AP59" i="40"/>
  <c r="AP28" i="40"/>
  <c r="AP22" i="40"/>
  <c r="AP16" i="40"/>
  <c r="AP40" i="40"/>
  <c r="AP32" i="40"/>
  <c r="AP55" i="40"/>
  <c r="Y9" i="40"/>
  <c r="X9" i="40"/>
  <c r="AM83" i="40" l="1"/>
  <c r="AA23" i="70"/>
  <c r="AB23" i="70" s="1"/>
  <c r="AD23" i="70" s="1"/>
  <c r="AF23" i="70" s="1"/>
  <c r="N9" i="40"/>
  <c r="O9" i="40" s="1"/>
  <c r="N10" i="40" s="1"/>
  <c r="O10" i="40" s="1"/>
  <c r="N11" i="40" s="1"/>
  <c r="O11" i="40" s="1"/>
  <c r="N12" i="40" s="1"/>
  <c r="D285" i="28"/>
  <c r="C92" i="62"/>
  <c r="D92" i="62" s="1"/>
  <c r="F92" i="62" s="1"/>
  <c r="H92" i="62" s="1"/>
  <c r="AW3" i="40"/>
  <c r="B284" i="28" s="1"/>
  <c r="Q6" i="40"/>
  <c r="AG9" i="40"/>
  <c r="AA6" i="40"/>
  <c r="AJ7" i="40"/>
  <c r="AP83" i="40"/>
  <c r="AJ113" i="40" s="1"/>
  <c r="AJ114" i="40" s="1"/>
  <c r="BB81" i="40"/>
  <c r="AU111" i="40" s="1"/>
  <c r="AU112" i="40" s="1"/>
  <c r="AV5" i="40"/>
  <c r="C94" i="62" s="1"/>
  <c r="D94" i="62" s="1"/>
  <c r="F94" i="62" s="1"/>
  <c r="H94" i="62" s="1"/>
  <c r="W10" i="40"/>
  <c r="AA22" i="70" l="1"/>
  <c r="AB22" i="70" s="1"/>
  <c r="AD22" i="70" s="1"/>
  <c r="AF22" i="70" s="1"/>
  <c r="C93" i="62"/>
  <c r="D93" i="62" s="1"/>
  <c r="F93" i="62" s="1"/>
  <c r="H93" i="62" s="1"/>
  <c r="AX3" i="40"/>
  <c r="C42" i="42"/>
  <c r="AY3" i="40"/>
  <c r="BC9" i="40"/>
  <c r="AV6" i="40"/>
  <c r="AQ11" i="40"/>
  <c r="AJ8" i="40"/>
  <c r="O12" i="40"/>
  <c r="N13" i="40" s="1"/>
  <c r="O13" i="40" s="1"/>
  <c r="Y10" i="40"/>
  <c r="AH9" i="40"/>
  <c r="AG10" i="40" s="1"/>
  <c r="AH10" i="40" s="1"/>
  <c r="X10" i="40"/>
  <c r="D66" i="40" l="1"/>
  <c r="W11" i="40"/>
  <c r="Y11" i="40" s="1"/>
  <c r="AR11" i="40"/>
  <c r="AQ12" i="40" s="1"/>
  <c r="AR12" i="40" s="1"/>
  <c r="AQ13" i="40" s="1"/>
  <c r="AR13" i="40" s="1"/>
  <c r="AG11" i="40"/>
  <c r="AH11" i="40" s="1"/>
  <c r="AG12" i="40" s="1"/>
  <c r="AH12" i="40" s="1"/>
  <c r="AG13" i="40" s="1"/>
  <c r="AH13" i="40" s="1"/>
  <c r="BE9" i="40"/>
  <c r="BD9" i="40"/>
  <c r="N14" i="40"/>
  <c r="M15" i="44" l="1"/>
  <c r="C295" i="28"/>
  <c r="D295" i="28" s="1"/>
  <c r="C294" i="28"/>
  <c r="D294" i="28" s="1"/>
  <c r="C293" i="28"/>
  <c r="D293" i="28" s="1"/>
  <c r="C292" i="28"/>
  <c r="D292" i="28" s="1"/>
  <c r="C291" i="28"/>
  <c r="C18" i="43" s="1"/>
  <c r="X11" i="40"/>
  <c r="W12" i="40" s="1"/>
  <c r="Y12" i="40" s="1"/>
  <c r="BC10" i="40"/>
  <c r="O14" i="40"/>
  <c r="N15" i="40" s="1"/>
  <c r="O15" i="40" s="1"/>
  <c r="AQ14" i="40"/>
  <c r="AR14" i="40" s="1"/>
  <c r="AQ15" i="40" s="1"/>
  <c r="AR15" i="40" s="1"/>
  <c r="AQ16" i="40" s="1"/>
  <c r="AR16" i="40" s="1"/>
  <c r="AG14" i="40"/>
  <c r="AH14" i="40" s="1"/>
  <c r="A321" i="28" l="1"/>
  <c r="A60" i="70"/>
  <c r="A118" i="62"/>
  <c r="K36" i="70"/>
  <c r="L36" i="70" s="1"/>
  <c r="N36" i="70" s="1"/>
  <c r="P36" i="70" s="1"/>
  <c r="D4" i="70" s="1"/>
  <c r="D5" i="70" s="1"/>
  <c r="S22" i="70"/>
  <c r="T21" i="70" s="1"/>
  <c r="V21" i="70" s="1"/>
  <c r="X21" i="70" s="1"/>
  <c r="K22" i="70"/>
  <c r="L22" i="70" s="1"/>
  <c r="N22" i="70" s="1"/>
  <c r="P22" i="70" s="1"/>
  <c r="C4" i="70" s="1"/>
  <c r="S36" i="70"/>
  <c r="T35" i="70" s="1"/>
  <c r="V35" i="70" s="1"/>
  <c r="X35" i="70" s="1"/>
  <c r="C22" i="42"/>
  <c r="C41" i="62"/>
  <c r="D41" i="62" s="1"/>
  <c r="F41" i="62" s="1"/>
  <c r="H41" i="62" s="1"/>
  <c r="C4" i="62" s="1"/>
  <c r="C23" i="42"/>
  <c r="C54" i="62"/>
  <c r="D54" i="62" s="1"/>
  <c r="F54" i="62" s="1"/>
  <c r="H54" i="62" s="1"/>
  <c r="D4" i="62" s="1"/>
  <c r="D5" i="62" s="1"/>
  <c r="C24" i="42"/>
  <c r="C67" i="62"/>
  <c r="D67" i="62" s="1"/>
  <c r="F67" i="62" s="1"/>
  <c r="H67" i="62" s="1"/>
  <c r="C25" i="42"/>
  <c r="C80" i="62"/>
  <c r="D80" i="62" s="1"/>
  <c r="F80" i="62" s="1"/>
  <c r="H80" i="62" s="1"/>
  <c r="D291" i="28"/>
  <c r="C296" i="28"/>
  <c r="D296" i="28" s="1"/>
  <c r="X12" i="40"/>
  <c r="W13" i="40" s="1"/>
  <c r="Y13" i="40" s="1"/>
  <c r="BD10" i="40"/>
  <c r="BE10" i="40"/>
  <c r="N16" i="40"/>
  <c r="O16" i="40" s="1"/>
  <c r="AQ17" i="40"/>
  <c r="AR17" i="40" s="1"/>
  <c r="AG15" i="40"/>
  <c r="AH15" i="40" s="1"/>
  <c r="A315" i="28" l="1"/>
  <c r="C6" i="62"/>
  <c r="C7" i="62" s="1"/>
  <c r="D6" i="62"/>
  <c r="D7" i="62" s="1"/>
  <c r="C6" i="70"/>
  <c r="C7" i="70" s="1"/>
  <c r="D6" i="70"/>
  <c r="D7" i="70" s="1"/>
  <c r="A54" i="70"/>
  <c r="C26" i="70"/>
  <c r="D26" i="70" s="1"/>
  <c r="F26" i="70" s="1"/>
  <c r="H26" i="70" s="1"/>
  <c r="B4" i="70" s="1"/>
  <c r="B7" i="70" s="1"/>
  <c r="A414" i="28"/>
  <c r="C26" i="62"/>
  <c r="D26" i="62" s="1"/>
  <c r="F26" i="62" s="1"/>
  <c r="H26" i="62" s="1"/>
  <c r="A112" i="62"/>
  <c r="B68" i="43"/>
  <c r="C11" i="42"/>
  <c r="X13" i="40"/>
  <c r="W14" i="40" s="1"/>
  <c r="BC11" i="40"/>
  <c r="AG16" i="40"/>
  <c r="AH16" i="40" s="1"/>
  <c r="AQ18" i="40"/>
  <c r="AR18" i="40" s="1"/>
  <c r="N17" i="40"/>
  <c r="O17" i="40" s="1"/>
  <c r="B4" i="62" l="1"/>
  <c r="B7" i="62" s="1"/>
  <c r="BD11" i="40"/>
  <c r="Y14" i="40"/>
  <c r="BE11" i="40"/>
  <c r="X14" i="40"/>
  <c r="W15" i="40" s="1"/>
  <c r="Y15" i="40" s="1"/>
  <c r="AQ19" i="40"/>
  <c r="AR19" i="40" s="1"/>
  <c r="AG17" i="40"/>
  <c r="AH17" i="40" s="1"/>
  <c r="N18" i="40"/>
  <c r="O18" i="40" s="1"/>
  <c r="BC12" i="40" l="1"/>
  <c r="BE12" i="40" s="1"/>
  <c r="X15" i="40"/>
  <c r="W16" i="40" s="1"/>
  <c r="Y16" i="40" s="1"/>
  <c r="N19" i="40"/>
  <c r="O19" i="40" s="1"/>
  <c r="AQ20" i="40"/>
  <c r="AR20" i="40" s="1"/>
  <c r="AG18" i="40"/>
  <c r="AH18" i="40" s="1"/>
  <c r="BC13" i="40" l="1"/>
  <c r="BD13" i="40" s="1"/>
  <c r="BD12" i="40"/>
  <c r="X16" i="40"/>
  <c r="W17" i="40" s="1"/>
  <c r="Y17" i="40" s="1"/>
  <c r="AG19" i="40"/>
  <c r="AH19" i="40" s="1"/>
  <c r="N20" i="40"/>
  <c r="O20" i="40" s="1"/>
  <c r="AQ21" i="40"/>
  <c r="AR21" i="40" s="1"/>
  <c r="BE13" i="40" l="1"/>
  <c r="BC14" i="40" s="1"/>
  <c r="X17" i="40"/>
  <c r="AQ22" i="40"/>
  <c r="AR22" i="40" s="1"/>
  <c r="AG20" i="40"/>
  <c r="AH20" i="40" s="1"/>
  <c r="N21" i="40"/>
  <c r="O21" i="40" s="1"/>
  <c r="BE14" i="40" l="1"/>
  <c r="BC15" i="40" s="1"/>
  <c r="BD15" i="40" s="1"/>
  <c r="BD14" i="40"/>
  <c r="AG21" i="40"/>
  <c r="AH21" i="40" s="1"/>
  <c r="AQ23" i="40"/>
  <c r="AR23" i="40" s="1"/>
  <c r="N22" i="40"/>
  <c r="O22" i="40" s="1"/>
  <c r="W18" i="40"/>
  <c r="Y18" i="40" s="1"/>
  <c r="BE15" i="40" l="1"/>
  <c r="BC16" i="40" s="1"/>
  <c r="BD16" i="40" s="1"/>
  <c r="N23" i="40"/>
  <c r="O23" i="40" s="1"/>
  <c r="AG22" i="40"/>
  <c r="AH22" i="40" s="1"/>
  <c r="AQ24" i="40"/>
  <c r="AR24" i="40" s="1"/>
  <c r="X18" i="40"/>
  <c r="BE16" i="40" l="1"/>
  <c r="N24" i="40"/>
  <c r="O24" i="40" s="1"/>
  <c r="AQ25" i="40"/>
  <c r="AR25" i="40" s="1"/>
  <c r="AG23" i="40"/>
  <c r="AH23" i="40" s="1"/>
  <c r="W19" i="40"/>
  <c r="Y19" i="40" s="1"/>
  <c r="BC17" i="40" l="1"/>
  <c r="BD17" i="40" s="1"/>
  <c r="X19" i="40"/>
  <c r="W20" i="40" s="1"/>
  <c r="Y20" i="40" s="1"/>
  <c r="AQ26" i="40"/>
  <c r="AR26" i="40" s="1"/>
  <c r="N25" i="40"/>
  <c r="O25" i="40" s="1"/>
  <c r="AG24" i="40"/>
  <c r="AH24" i="40" s="1"/>
  <c r="BE17" i="40" l="1"/>
  <c r="X20" i="40"/>
  <c r="W21" i="40" s="1"/>
  <c r="Y21" i="40" s="1"/>
  <c r="N26" i="40"/>
  <c r="O26" i="40" s="1"/>
  <c r="AQ27" i="40"/>
  <c r="AR27" i="40" s="1"/>
  <c r="AG25" i="40"/>
  <c r="AH25" i="40" s="1"/>
  <c r="BC18" i="40" l="1"/>
  <c r="BD18" i="40" s="1"/>
  <c r="X21" i="40"/>
  <c r="W22" i="40" s="1"/>
  <c r="Y22" i="40" s="1"/>
  <c r="AG26" i="40"/>
  <c r="AH26" i="40" s="1"/>
  <c r="N27" i="40"/>
  <c r="O27" i="40" s="1"/>
  <c r="AQ28" i="40"/>
  <c r="AR28" i="40" s="1"/>
  <c r="BE18" i="40" l="1"/>
  <c r="N28" i="40"/>
  <c r="O28" i="40" s="1"/>
  <c r="AG27" i="40"/>
  <c r="AH27" i="40" s="1"/>
  <c r="AQ29" i="40"/>
  <c r="AR29" i="40" s="1"/>
  <c r="X22" i="40"/>
  <c r="BC19" i="40" l="1"/>
  <c r="BD19" i="40" s="1"/>
  <c r="N29" i="40"/>
  <c r="O29" i="40" s="1"/>
  <c r="W23" i="40"/>
  <c r="Y23" i="40" s="1"/>
  <c r="AG28" i="40"/>
  <c r="AH28" i="40" s="1"/>
  <c r="AQ30" i="40"/>
  <c r="AR30" i="40" s="1"/>
  <c r="X23" i="40" l="1"/>
  <c r="W24" i="40" s="1"/>
  <c r="Y24" i="40" s="1"/>
  <c r="BE19" i="40"/>
  <c r="AQ31" i="40"/>
  <c r="AR31" i="40" s="1"/>
  <c r="N30" i="40"/>
  <c r="O30" i="40" s="1"/>
  <c r="AG29" i="40"/>
  <c r="AH29" i="40" s="1"/>
  <c r="BC20" i="40" l="1"/>
  <c r="BD20" i="40" s="1"/>
  <c r="X24" i="40"/>
  <c r="W25" i="40" s="1"/>
  <c r="Y25" i="40" s="1"/>
  <c r="N31" i="40"/>
  <c r="O31" i="40" s="1"/>
  <c r="AQ32" i="40"/>
  <c r="AR32" i="40" s="1"/>
  <c r="AG30" i="40"/>
  <c r="AH30" i="40" s="1"/>
  <c r="BE20" i="40" l="1"/>
  <c r="X25" i="40"/>
  <c r="W26" i="40" s="1"/>
  <c r="Y26" i="40" s="1"/>
  <c r="AQ33" i="40"/>
  <c r="AR33" i="40" s="1"/>
  <c r="AG31" i="40"/>
  <c r="AH31" i="40" s="1"/>
  <c r="N32" i="40"/>
  <c r="O32" i="40" s="1"/>
  <c r="BC21" i="40" l="1"/>
  <c r="BD21" i="40" s="1"/>
  <c r="X26" i="40"/>
  <c r="W27" i="40" s="1"/>
  <c r="Y27" i="40" s="1"/>
  <c r="AG32" i="40"/>
  <c r="AH32" i="40" s="1"/>
  <c r="AQ34" i="40"/>
  <c r="AR34" i="40" s="1"/>
  <c r="N33" i="40"/>
  <c r="O33" i="40" s="1"/>
  <c r="BE21" i="40" l="1"/>
  <c r="BC22" i="40" s="1"/>
  <c r="BD22" i="40" s="1"/>
  <c r="X27" i="40"/>
  <c r="W28" i="40" s="1"/>
  <c r="Y28" i="40" s="1"/>
  <c r="AQ35" i="40"/>
  <c r="AR35" i="40" s="1"/>
  <c r="AG33" i="40"/>
  <c r="AH33" i="40" s="1"/>
  <c r="N34" i="40"/>
  <c r="O34" i="40" s="1"/>
  <c r="BE22" i="40" l="1"/>
  <c r="N35" i="40"/>
  <c r="O35" i="40" s="1"/>
  <c r="X28" i="40"/>
  <c r="AQ36" i="40"/>
  <c r="AR36" i="40" s="1"/>
  <c r="AG34" i="40"/>
  <c r="AH34" i="40" s="1"/>
  <c r="BC23" i="40" l="1"/>
  <c r="BD23" i="40" s="1"/>
  <c r="AG35" i="40"/>
  <c r="AH35" i="40" s="1"/>
  <c r="AQ37" i="40"/>
  <c r="AR37" i="40" s="1"/>
  <c r="N36" i="40"/>
  <c r="O36" i="40" s="1"/>
  <c r="W29" i="40"/>
  <c r="Y29" i="40" s="1"/>
  <c r="BE23" i="40" l="1"/>
  <c r="X29" i="40"/>
  <c r="W30" i="40" s="1"/>
  <c r="Y30" i="40" s="1"/>
  <c r="AG36" i="40"/>
  <c r="AH36" i="40" s="1"/>
  <c r="AQ38" i="40"/>
  <c r="AR38" i="40" s="1"/>
  <c r="N37" i="40"/>
  <c r="O37" i="40" s="1"/>
  <c r="BC24" i="40" l="1"/>
  <c r="BD24" i="40" s="1"/>
  <c r="X30" i="40"/>
  <c r="W31" i="40" s="1"/>
  <c r="Y31" i="40" s="1"/>
  <c r="AG37" i="40"/>
  <c r="AH37" i="40" s="1"/>
  <c r="N38" i="40"/>
  <c r="O38" i="40" s="1"/>
  <c r="AQ39" i="40"/>
  <c r="AR39" i="40" s="1"/>
  <c r="BE24" i="40" l="1"/>
  <c r="AG38" i="40"/>
  <c r="AH38" i="40" s="1"/>
  <c r="X31" i="40"/>
  <c r="AQ40" i="40"/>
  <c r="AR40" i="40" s="1"/>
  <c r="N39" i="40"/>
  <c r="O39" i="40" s="1"/>
  <c r="BC25" i="40" l="1"/>
  <c r="BD25" i="40" s="1"/>
  <c r="W32" i="40"/>
  <c r="Y32" i="40" s="1"/>
  <c r="AQ41" i="40"/>
  <c r="AR41" i="40" s="1"/>
  <c r="N40" i="40"/>
  <c r="O40" i="40" s="1"/>
  <c r="AG39" i="40"/>
  <c r="AH39" i="40" s="1"/>
  <c r="BE25" i="40" l="1"/>
  <c r="X32" i="40"/>
  <c r="W33" i="40" s="1"/>
  <c r="Y33" i="40" s="1"/>
  <c r="AQ42" i="40"/>
  <c r="AR42" i="40" s="1"/>
  <c r="AG40" i="40"/>
  <c r="AH40" i="40" s="1"/>
  <c r="N41" i="40"/>
  <c r="O41" i="40" s="1"/>
  <c r="BC26" i="40" l="1"/>
  <c r="BD26" i="40" s="1"/>
  <c r="X33" i="40"/>
  <c r="W34" i="40" s="1"/>
  <c r="Y34" i="40" s="1"/>
  <c r="AG41" i="40"/>
  <c r="AH41" i="40" s="1"/>
  <c r="AQ43" i="40"/>
  <c r="AR43" i="40" s="1"/>
  <c r="N42" i="40"/>
  <c r="O42" i="40" s="1"/>
  <c r="BE26" i="40" l="1"/>
  <c r="AQ44" i="40"/>
  <c r="AR44" i="40" s="1"/>
  <c r="AG42" i="40"/>
  <c r="AH42" i="40" s="1"/>
  <c r="N43" i="40"/>
  <c r="O43" i="40" s="1"/>
  <c r="X34" i="40"/>
  <c r="BC27" i="40" l="1"/>
  <c r="BD27" i="40" s="1"/>
  <c r="N44" i="40"/>
  <c r="O44" i="40" s="1"/>
  <c r="AQ45" i="40"/>
  <c r="AR45" i="40" s="1"/>
  <c r="W35" i="40"/>
  <c r="Y35" i="40" s="1"/>
  <c r="AG43" i="40"/>
  <c r="AH43" i="40" s="1"/>
  <c r="BE27" i="40" l="1"/>
  <c r="X35" i="40"/>
  <c r="W36" i="40" s="1"/>
  <c r="Y36" i="40" s="1"/>
  <c r="AG44" i="40"/>
  <c r="AH44" i="40" s="1"/>
  <c r="AQ46" i="40"/>
  <c r="AR46" i="40" s="1"/>
  <c r="N45" i="40"/>
  <c r="O45" i="40" s="1"/>
  <c r="BC28" i="40" l="1"/>
  <c r="BD28" i="40" s="1"/>
  <c r="X36" i="40"/>
  <c r="W37" i="40" s="1"/>
  <c r="Y37" i="40" s="1"/>
  <c r="AQ47" i="40"/>
  <c r="AR47" i="40" s="1"/>
  <c r="AG45" i="40"/>
  <c r="AH45" i="40" s="1"/>
  <c r="N46" i="40"/>
  <c r="O46" i="40" s="1"/>
  <c r="BE28" i="40" l="1"/>
  <c r="X37" i="40"/>
  <c r="AQ48" i="40"/>
  <c r="AR48" i="40" s="1"/>
  <c r="N47" i="40"/>
  <c r="O47" i="40" s="1"/>
  <c r="AG46" i="40"/>
  <c r="AH46" i="40" s="1"/>
  <c r="BC29" i="40" l="1"/>
  <c r="BD29" i="40" s="1"/>
  <c r="AQ49" i="40"/>
  <c r="AR49" i="40" s="1"/>
  <c r="AG47" i="40"/>
  <c r="AH47" i="40" s="1"/>
  <c r="N48" i="40"/>
  <c r="O48" i="40" s="1"/>
  <c r="W38" i="40"/>
  <c r="Y38" i="40" s="1"/>
  <c r="BE29" i="40" l="1"/>
  <c r="AQ50" i="40"/>
  <c r="AR50" i="40" s="1"/>
  <c r="AG48" i="40"/>
  <c r="AH48" i="40" s="1"/>
  <c r="N49" i="40"/>
  <c r="O49" i="40" s="1"/>
  <c r="X38" i="40"/>
  <c r="BC30" i="40" l="1"/>
  <c r="BD30" i="40" s="1"/>
  <c r="N50" i="40"/>
  <c r="O50" i="40" s="1"/>
  <c r="AQ51" i="40"/>
  <c r="AR51" i="40" s="1"/>
  <c r="AG49" i="40"/>
  <c r="AH49" i="40" s="1"/>
  <c r="W39" i="40"/>
  <c r="Y39" i="40" s="1"/>
  <c r="BE30" i="40" l="1"/>
  <c r="X39" i="40"/>
  <c r="W40" i="40" s="1"/>
  <c r="Y40" i="40" s="1"/>
  <c r="N51" i="40"/>
  <c r="O51" i="40" s="1"/>
  <c r="AG50" i="40"/>
  <c r="AH50" i="40" s="1"/>
  <c r="AQ52" i="40"/>
  <c r="AR52" i="40" s="1"/>
  <c r="BC31" i="40" l="1"/>
  <c r="BD31" i="40" s="1"/>
  <c r="N52" i="40"/>
  <c r="O52" i="40" s="1"/>
  <c r="AG51" i="40"/>
  <c r="AH51" i="40" s="1"/>
  <c r="AQ53" i="40"/>
  <c r="AR53" i="40" s="1"/>
  <c r="X40" i="40"/>
  <c r="BE31" i="40" l="1"/>
  <c r="W41" i="40"/>
  <c r="Y41" i="40" s="1"/>
  <c r="N53" i="40"/>
  <c r="O53" i="40" s="1"/>
  <c r="AG52" i="40"/>
  <c r="AH52" i="40" s="1"/>
  <c r="AQ54" i="40"/>
  <c r="AR54" i="40" s="1"/>
  <c r="BC32" i="40" l="1"/>
  <c r="BD32" i="40" s="1"/>
  <c r="X41" i="40"/>
  <c r="W42" i="40" s="1"/>
  <c r="Y42" i="40" s="1"/>
  <c r="AQ55" i="40"/>
  <c r="AR55" i="40" s="1"/>
  <c r="N54" i="40"/>
  <c r="O54" i="40" s="1"/>
  <c r="AG53" i="40"/>
  <c r="AH53" i="40" s="1"/>
  <c r="BE32" i="40" l="1"/>
  <c r="X42" i="40"/>
  <c r="AQ56" i="40"/>
  <c r="AR56" i="40" s="1"/>
  <c r="AG54" i="40"/>
  <c r="AH54" i="40" s="1"/>
  <c r="N55" i="40"/>
  <c r="O55" i="40" s="1"/>
  <c r="BC33" i="40" l="1"/>
  <c r="BD33" i="40" s="1"/>
  <c r="AQ57" i="40"/>
  <c r="AR57" i="40" s="1"/>
  <c r="N56" i="40"/>
  <c r="O56" i="40" s="1"/>
  <c r="AG55" i="40"/>
  <c r="AH55" i="40" s="1"/>
  <c r="W43" i="40"/>
  <c r="Y43" i="40" s="1"/>
  <c r="BE33" i="40" l="1"/>
  <c r="AQ58" i="40"/>
  <c r="AR58" i="40" s="1"/>
  <c r="N57" i="40"/>
  <c r="O57" i="40" s="1"/>
  <c r="AG56" i="40"/>
  <c r="AH56" i="40" s="1"/>
  <c r="X43" i="40"/>
  <c r="BC34" i="40" l="1"/>
  <c r="BD34" i="40" s="1"/>
  <c r="AG57" i="40"/>
  <c r="AH57" i="40" s="1"/>
  <c r="AQ59" i="40"/>
  <c r="AR59" i="40" s="1"/>
  <c r="N58" i="40"/>
  <c r="O58" i="40" s="1"/>
  <c r="W44" i="40"/>
  <c r="Y44" i="40" s="1"/>
  <c r="BE34" i="40" l="1"/>
  <c r="X44" i="40"/>
  <c r="W45" i="40" s="1"/>
  <c r="Y45" i="40" s="1"/>
  <c r="AG58" i="40"/>
  <c r="AH58" i="40" s="1"/>
  <c r="N59" i="40"/>
  <c r="O59" i="40" s="1"/>
  <c r="AQ60" i="40"/>
  <c r="AR60" i="40" s="1"/>
  <c r="BC35" i="40" l="1"/>
  <c r="BD35" i="40" s="1"/>
  <c r="AG59" i="40"/>
  <c r="AH59" i="40" s="1"/>
  <c r="AQ61" i="40"/>
  <c r="AR61" i="40" s="1"/>
  <c r="N60" i="40"/>
  <c r="O60" i="40" s="1"/>
  <c r="X45" i="40"/>
  <c r="BE35" i="40" l="1"/>
  <c r="N61" i="40"/>
  <c r="O61" i="40" s="1"/>
  <c r="AQ62" i="40"/>
  <c r="AR62" i="40" s="1"/>
  <c r="AG60" i="40"/>
  <c r="AH60" i="40" s="1"/>
  <c r="W46" i="40"/>
  <c r="Y46" i="40" s="1"/>
  <c r="BC36" i="40" l="1"/>
  <c r="BD36" i="40" s="1"/>
  <c r="X46" i="40"/>
  <c r="N62" i="40"/>
  <c r="O62" i="40" s="1"/>
  <c r="AQ63" i="40"/>
  <c r="AR63" i="40" s="1"/>
  <c r="AG61" i="40"/>
  <c r="AH61" i="40" s="1"/>
  <c r="BE36" i="40" l="1"/>
  <c r="AQ64" i="40"/>
  <c r="AR64" i="40" s="1"/>
  <c r="AG62" i="40"/>
  <c r="AH62" i="40" s="1"/>
  <c r="N63" i="40"/>
  <c r="O63" i="40" s="1"/>
  <c r="W47" i="40"/>
  <c r="Y47" i="40" s="1"/>
  <c r="BC37" i="40" l="1"/>
  <c r="BD37" i="40" s="1"/>
  <c r="X47" i="40"/>
  <c r="W48" i="40" s="1"/>
  <c r="Y48" i="40" s="1"/>
  <c r="AG63" i="40"/>
  <c r="AH63" i="40" s="1"/>
  <c r="AQ65" i="40"/>
  <c r="AR65" i="40" s="1"/>
  <c r="N64" i="40"/>
  <c r="O64" i="40" s="1"/>
  <c r="BE37" i="40" l="1"/>
  <c r="X48" i="40"/>
  <c r="W49" i="40" s="1"/>
  <c r="Y49" i="40" s="1"/>
  <c r="N65" i="40"/>
  <c r="O65" i="40" s="1"/>
  <c r="AQ66" i="40"/>
  <c r="AR66" i="40" s="1"/>
  <c r="AG64" i="40"/>
  <c r="AH64" i="40" s="1"/>
  <c r="BC38" i="40" l="1"/>
  <c r="BD38" i="40" s="1"/>
  <c r="AG65" i="40"/>
  <c r="AH65" i="40" s="1"/>
  <c r="N66" i="40"/>
  <c r="O66" i="40" s="1"/>
  <c r="X49" i="40"/>
  <c r="AQ67" i="40"/>
  <c r="AR67" i="40" s="1"/>
  <c r="BE38" i="40" l="1"/>
  <c r="AQ68" i="40"/>
  <c r="AR68" i="40" s="1"/>
  <c r="AG66" i="40"/>
  <c r="AH66" i="40" s="1"/>
  <c r="N67" i="40"/>
  <c r="O67" i="40" s="1"/>
  <c r="W50" i="40"/>
  <c r="Y50" i="40" s="1"/>
  <c r="BC39" i="40" l="1"/>
  <c r="BD39" i="40" s="1"/>
  <c r="X50" i="40"/>
  <c r="W51" i="40" s="1"/>
  <c r="Y51" i="40" s="1"/>
  <c r="N68" i="40"/>
  <c r="O68" i="40" s="1"/>
  <c r="AQ69" i="40"/>
  <c r="AR69" i="40" s="1"/>
  <c r="AG67" i="40"/>
  <c r="AH67" i="40" s="1"/>
  <c r="BE39" i="40" l="1"/>
  <c r="X51" i="40"/>
  <c r="W52" i="40" s="1"/>
  <c r="Y52" i="40" s="1"/>
  <c r="AG68" i="40"/>
  <c r="AH68" i="40" s="1"/>
  <c r="N69" i="40"/>
  <c r="O69" i="40" s="1"/>
  <c r="AQ70" i="40"/>
  <c r="AR70" i="40" s="1"/>
  <c r="BC40" i="40" l="1"/>
  <c r="BD40" i="40" s="1"/>
  <c r="X52" i="40"/>
  <c r="W53" i="40" s="1"/>
  <c r="Y53" i="40" s="1"/>
  <c r="AG69" i="40"/>
  <c r="AH69" i="40" s="1"/>
  <c r="AQ71" i="40"/>
  <c r="AR71" i="40" s="1"/>
  <c r="N70" i="40"/>
  <c r="O70" i="40" s="1"/>
  <c r="BE40" i="40" l="1"/>
  <c r="X53" i="40"/>
  <c r="W54" i="40" s="1"/>
  <c r="Y54" i="40" s="1"/>
  <c r="AG70" i="40"/>
  <c r="AH70" i="40" s="1"/>
  <c r="N71" i="40"/>
  <c r="O71" i="40" s="1"/>
  <c r="AQ72" i="40"/>
  <c r="AR72" i="40" s="1"/>
  <c r="BC41" i="40" l="1"/>
  <c r="BD41" i="40" s="1"/>
  <c r="AQ73" i="40"/>
  <c r="AR73" i="40" s="1"/>
  <c r="N72" i="40"/>
  <c r="O72" i="40" s="1"/>
  <c r="AG71" i="40"/>
  <c r="AH71" i="40" s="1"/>
  <c r="X54" i="40"/>
  <c r="BE41" i="40" l="1"/>
  <c r="AG72" i="40"/>
  <c r="AH72" i="40" s="1"/>
  <c r="AQ74" i="40"/>
  <c r="AR74" i="40" s="1"/>
  <c r="N73" i="40"/>
  <c r="O73" i="40" s="1"/>
  <c r="W55" i="40"/>
  <c r="Y55" i="40" s="1"/>
  <c r="BC42" i="40" l="1"/>
  <c r="BD42" i="40" s="1"/>
  <c r="X55" i="40"/>
  <c r="W56" i="40" s="1"/>
  <c r="N74" i="40"/>
  <c r="O74" i="40" s="1"/>
  <c r="AQ75" i="40"/>
  <c r="AR75" i="40" s="1"/>
  <c r="AG73" i="40"/>
  <c r="AH73" i="40" s="1"/>
  <c r="Y56" i="40" l="1"/>
  <c r="X56" i="40"/>
  <c r="W57" i="40" s="1"/>
  <c r="Y57" i="40" s="1"/>
  <c r="BE42" i="40"/>
  <c r="AQ76" i="40"/>
  <c r="AR76" i="40" s="1"/>
  <c r="N75" i="40"/>
  <c r="O75" i="40" s="1"/>
  <c r="AG74" i="40"/>
  <c r="AH74" i="40" s="1"/>
  <c r="BC43" i="40" l="1"/>
  <c r="BD43" i="40" s="1"/>
  <c r="X57" i="40"/>
  <c r="W58" i="40" s="1"/>
  <c r="Y58" i="40" s="1"/>
  <c r="N76" i="40"/>
  <c r="O76" i="40" s="1"/>
  <c r="AQ77" i="40"/>
  <c r="AR77" i="40" s="1"/>
  <c r="AG75" i="40"/>
  <c r="AH75" i="40" s="1"/>
  <c r="BE43" i="40" l="1"/>
  <c r="X58" i="40"/>
  <c r="W59" i="40" s="1"/>
  <c r="AG76" i="40"/>
  <c r="AH76" i="40" s="1"/>
  <c r="N77" i="40"/>
  <c r="O77" i="40" s="1"/>
  <c r="AQ78" i="40"/>
  <c r="AR78" i="40" s="1"/>
  <c r="BC44" i="40" l="1"/>
  <c r="BD44" i="40" s="1"/>
  <c r="Y59" i="40"/>
  <c r="X59" i="40"/>
  <c r="W60" i="40" s="1"/>
  <c r="Y60" i="40" s="1"/>
  <c r="AQ79" i="40"/>
  <c r="AR79" i="40" s="1"/>
  <c r="AG77" i="40"/>
  <c r="AH77" i="40" s="1"/>
  <c r="N78" i="40"/>
  <c r="O78" i="40" s="1"/>
  <c r="BE44" i="40" l="1"/>
  <c r="AG78" i="40"/>
  <c r="AH78" i="40" s="1"/>
  <c r="AQ80" i="40"/>
  <c r="AR80" i="40" s="1"/>
  <c r="N79" i="40"/>
  <c r="O79" i="40" s="1"/>
  <c r="X60" i="40"/>
  <c r="BC45" i="40" l="1"/>
  <c r="BD45" i="40" s="1"/>
  <c r="AQ81" i="40"/>
  <c r="AR81" i="40" s="1"/>
  <c r="AG79" i="40"/>
  <c r="AH79" i="40" s="1"/>
  <c r="W61" i="40"/>
  <c r="Y61" i="40" s="1"/>
  <c r="N80" i="40"/>
  <c r="BE45" i="40" l="1"/>
  <c r="O80" i="40"/>
  <c r="N81" i="40"/>
  <c r="X61" i="40"/>
  <c r="W62" i="40" s="1"/>
  <c r="Y62" i="40" s="1"/>
  <c r="AQ82" i="40"/>
  <c r="AG80" i="40"/>
  <c r="BC46" i="40" l="1"/>
  <c r="BD46" i="40" s="1"/>
  <c r="AH80" i="40"/>
  <c r="AG81" i="40"/>
  <c r="AR82" i="40"/>
  <c r="AQ83" i="40"/>
  <c r="X62" i="40"/>
  <c r="W63" i="40" s="1"/>
  <c r="Y63" i="40" s="1"/>
  <c r="BE46" i="40" l="1"/>
  <c r="X63" i="40"/>
  <c r="W64" i="40" s="1"/>
  <c r="Y64" i="40" s="1"/>
  <c r="BC47" i="40" l="1"/>
  <c r="BD47" i="40" s="1"/>
  <c r="X64" i="40"/>
  <c r="BE47" i="40" l="1"/>
  <c r="W65" i="40"/>
  <c r="Y65" i="40" s="1"/>
  <c r="BC48" i="40" l="1"/>
  <c r="BD48" i="40" s="1"/>
  <c r="X65" i="40"/>
  <c r="BE48" i="40" l="1"/>
  <c r="W66" i="40"/>
  <c r="Y66" i="40" s="1"/>
  <c r="BC49" i="40" l="1"/>
  <c r="BD49" i="40" s="1"/>
  <c r="X66" i="40"/>
  <c r="BE49" i="40" l="1"/>
  <c r="W67" i="40"/>
  <c r="Y67" i="40" s="1"/>
  <c r="BC50" i="40" l="1"/>
  <c r="BD50" i="40" s="1"/>
  <c r="X67" i="40"/>
  <c r="W68" i="40" s="1"/>
  <c r="Y68" i="40" s="1"/>
  <c r="BE50" i="40" l="1"/>
  <c r="X68" i="40"/>
  <c r="BC51" i="40" l="1"/>
  <c r="BD51" i="40" s="1"/>
  <c r="W69" i="40"/>
  <c r="Y69" i="40" s="1"/>
  <c r="BE51" i="40" l="1"/>
  <c r="X69" i="40"/>
  <c r="BC52" i="40" l="1"/>
  <c r="BD52" i="40" s="1"/>
  <c r="W70" i="40"/>
  <c r="Y70" i="40" s="1"/>
  <c r="BE52" i="40" l="1"/>
  <c r="X70" i="40"/>
  <c r="BC53" i="40" l="1"/>
  <c r="BD53" i="40" s="1"/>
  <c r="W71" i="40"/>
  <c r="Y71" i="40" s="1"/>
  <c r="BE53" i="40" l="1"/>
  <c r="X71" i="40"/>
  <c r="W72" i="40" s="1"/>
  <c r="Y72" i="40" s="1"/>
  <c r="BC54" i="40" l="1"/>
  <c r="BD54" i="40" s="1"/>
  <c r="X72" i="40"/>
  <c r="BE54" i="40" l="1"/>
  <c r="W73" i="40"/>
  <c r="Y73" i="40" s="1"/>
  <c r="BC55" i="40" l="1"/>
  <c r="BD55" i="40" s="1"/>
  <c r="X73" i="40"/>
  <c r="BE55" i="40" l="1"/>
  <c r="W74" i="40"/>
  <c r="Y74" i="40" s="1"/>
  <c r="BC56" i="40" l="1"/>
  <c r="BD56" i="40" s="1"/>
  <c r="X74" i="40"/>
  <c r="BE56" i="40" l="1"/>
  <c r="W75" i="40"/>
  <c r="Y75" i="40" s="1"/>
  <c r="BC57" i="40" l="1"/>
  <c r="BD57" i="40" s="1"/>
  <c r="X75" i="40"/>
  <c r="W76" i="40" s="1"/>
  <c r="Y76" i="40" s="1"/>
  <c r="BE57" i="40" l="1"/>
  <c r="X76" i="40"/>
  <c r="BC58" i="40" l="1"/>
  <c r="BD58" i="40" s="1"/>
  <c r="W77" i="40"/>
  <c r="Y77" i="40" s="1"/>
  <c r="BE58" i="40" l="1"/>
  <c r="X77" i="40"/>
  <c r="W78" i="40" s="1"/>
  <c r="Y78" i="40" s="1"/>
  <c r="BC59" i="40" l="1"/>
  <c r="BD59" i="40" s="1"/>
  <c r="X78" i="40"/>
  <c r="BE59" i="40" l="1"/>
  <c r="W79" i="40"/>
  <c r="Y79" i="40" s="1"/>
  <c r="BC60" i="40" l="1"/>
  <c r="BD60" i="40" s="1"/>
  <c r="X79" i="40"/>
  <c r="BE60" i="40" l="1"/>
  <c r="W80" i="40"/>
  <c r="BC61" i="40" l="1"/>
  <c r="BD61" i="40" s="1"/>
  <c r="Y80" i="40"/>
  <c r="W81" i="40"/>
  <c r="X80" i="40"/>
  <c r="BE61" i="40" l="1"/>
  <c r="BC62" i="40" l="1"/>
  <c r="BD62" i="40" s="1"/>
  <c r="BE62" i="40" l="1"/>
  <c r="BC63" i="40" l="1"/>
  <c r="BD63" i="40" l="1"/>
  <c r="BE63" i="40"/>
  <c r="BC64" i="40" l="1"/>
  <c r="BE64" i="40" s="1"/>
  <c r="BC65" i="40" l="1"/>
  <c r="BD65" i="40" s="1"/>
  <c r="BD64" i="40"/>
  <c r="BE65" i="40" l="1"/>
  <c r="BC66" i="40" l="1"/>
  <c r="BD66" i="40" l="1"/>
  <c r="BE66" i="40"/>
  <c r="BC67" i="40" l="1"/>
  <c r="BD67" i="40" l="1"/>
  <c r="BE67" i="40"/>
  <c r="BC68" i="40" l="1"/>
  <c r="BD68" i="40" s="1"/>
  <c r="BE68" i="40" l="1"/>
  <c r="BC69" i="40" l="1"/>
  <c r="BD69" i="40" s="1"/>
  <c r="BE69" i="40" l="1"/>
  <c r="BC70" i="40" l="1"/>
  <c r="BD70" i="40" s="1"/>
  <c r="BE70" i="40" l="1"/>
  <c r="BC71" i="40" l="1"/>
  <c r="BD71" i="40" s="1"/>
  <c r="BE71" i="40" l="1"/>
  <c r="BC72" i="40" l="1"/>
  <c r="BD72" i="40" s="1"/>
  <c r="BE72" i="40" l="1"/>
  <c r="BC73" i="40" l="1"/>
  <c r="BD73" i="40" s="1"/>
  <c r="BE73" i="40" l="1"/>
  <c r="BC74" i="40" l="1"/>
  <c r="BD74" i="40" s="1"/>
  <c r="BE74" i="40" l="1"/>
  <c r="BC75" i="40" l="1"/>
  <c r="BD75" i="40" s="1"/>
  <c r="BE75" i="40" l="1"/>
  <c r="BC76" i="40" l="1"/>
  <c r="BD76" i="40" s="1"/>
  <c r="BE76" i="40" l="1"/>
  <c r="BC77" i="40" l="1"/>
  <c r="BD77" i="40" s="1"/>
  <c r="BE77" i="40" l="1"/>
  <c r="BC78" i="40" l="1"/>
  <c r="BD78" i="40" s="1"/>
  <c r="BE78" i="40" l="1"/>
  <c r="BC79" i="40" l="1"/>
  <c r="BD79" i="40" s="1"/>
  <c r="BE79" i="40" l="1"/>
  <c r="BC80" i="40" l="1"/>
  <c r="BD80" i="40" l="1"/>
  <c r="BD81" i="40" s="1"/>
  <c r="BC81" i="40"/>
  <c r="BE80" i="40"/>
  <c r="D16" i="44"/>
  <c r="B122" i="45" s="1"/>
  <c r="C55" i="43"/>
  <c r="C54" i="43"/>
  <c r="C60" i="43"/>
  <c r="C56" i="43"/>
  <c r="C61" i="43"/>
  <c r="E280" i="28"/>
  <c r="C57" i="43"/>
  <c r="C59" i="43"/>
  <c r="C58" i="43"/>
  <c r="D283" i="28"/>
  <c r="B14" i="44"/>
  <c r="B118" i="45" s="1"/>
  <c r="A6" i="41"/>
  <c r="E6" i="41" s="1"/>
  <c r="A385" i="28" l="1"/>
  <c r="A98" i="70"/>
  <c r="A156" i="62"/>
  <c r="A421" i="28"/>
  <c r="AA18" i="70"/>
  <c r="AB18" i="70" s="1"/>
  <c r="AD18" i="70" s="1"/>
  <c r="AF18" i="70" s="1"/>
  <c r="G4" i="70" s="1"/>
  <c r="G7" i="70" s="1"/>
  <c r="H1" i="70" s="1"/>
  <c r="C89" i="62"/>
  <c r="D89" i="62" s="1"/>
  <c r="F89" i="62" s="1"/>
  <c r="H89" i="62" s="1"/>
  <c r="G4" i="62" s="1"/>
  <c r="G7" i="62" s="1"/>
  <c r="H1" i="62" s="1"/>
  <c r="D9" i="43"/>
  <c r="D10" i="43" s="1"/>
  <c r="C9" i="43" s="1"/>
  <c r="A311" i="28" s="1"/>
  <c r="D6" i="41"/>
  <c r="B32" i="47"/>
  <c r="B99" i="47"/>
  <c r="B164" i="47"/>
  <c r="B433" i="47"/>
  <c r="A160" i="47"/>
  <c r="A7" i="41"/>
  <c r="A28" i="47"/>
  <c r="C196" i="45"/>
  <c r="C6" i="41"/>
  <c r="A95" i="47"/>
  <c r="B6" i="41"/>
  <c r="F6" i="41"/>
  <c r="A429" i="47"/>
  <c r="C43" i="42"/>
  <c r="B15" i="44"/>
  <c r="A11" i="56"/>
  <c r="A12" i="56"/>
  <c r="A50" i="70" l="1"/>
  <c r="A108" i="62"/>
  <c r="A417" i="28"/>
  <c r="S5" i="41"/>
  <c r="C96" i="47"/>
  <c r="C29" i="47"/>
  <c r="C430" i="47"/>
  <c r="C161" i="47"/>
  <c r="E7" i="41"/>
  <c r="A8" i="41"/>
  <c r="B7" i="41"/>
  <c r="D7" i="41"/>
  <c r="F7" i="41" s="1"/>
  <c r="C7" i="41"/>
  <c r="S6" i="41" l="1"/>
  <c r="B8" i="41"/>
  <c r="A9" i="41"/>
  <c r="E8" i="41"/>
  <c r="C8" i="41"/>
  <c r="D8" i="41"/>
  <c r="F8" i="41" s="1"/>
  <c r="S7" i="41" l="1"/>
  <c r="B9" i="41"/>
  <c r="A10" i="41"/>
  <c r="E9" i="41"/>
  <c r="C9" i="41"/>
  <c r="D9" i="41"/>
  <c r="F9" i="41" s="1"/>
  <c r="S8" i="41" l="1"/>
  <c r="E10" i="41"/>
  <c r="B10" i="41"/>
  <c r="C10" i="41"/>
  <c r="A11" i="41"/>
  <c r="D10" i="41"/>
  <c r="F10" i="41" s="1"/>
  <c r="S9" i="41" l="1"/>
  <c r="B11" i="41"/>
  <c r="C11" i="41"/>
  <c r="D11" i="41"/>
  <c r="F11" i="41" s="1"/>
  <c r="A12" i="41"/>
  <c r="E11" i="41"/>
  <c r="S10" i="41" l="1"/>
  <c r="C12" i="41"/>
  <c r="A13" i="41"/>
  <c r="E12" i="41"/>
  <c r="B12" i="41"/>
  <c r="D12" i="41"/>
  <c r="F12" i="41" s="1"/>
  <c r="S11" i="41" l="1"/>
  <c r="D13" i="41"/>
  <c r="B13" i="41"/>
  <c r="C13" i="41"/>
  <c r="A14" i="41"/>
  <c r="F13" i="41"/>
  <c r="E13" i="41"/>
  <c r="S12" i="41" l="1"/>
  <c r="B14" i="41"/>
  <c r="E14" i="41"/>
  <c r="D14" i="41"/>
  <c r="F14" i="41" s="1"/>
  <c r="A15" i="41"/>
  <c r="C14" i="41"/>
  <c r="S13" i="41" l="1"/>
  <c r="E15" i="41"/>
  <c r="D15" i="41"/>
  <c r="F15" i="41" s="1"/>
  <c r="B15" i="41"/>
  <c r="C15" i="41"/>
  <c r="A16" i="41"/>
  <c r="S14" i="41" l="1"/>
  <c r="B16" i="41"/>
  <c r="D16" i="41"/>
  <c r="F16" i="41" s="1"/>
  <c r="A17" i="41"/>
  <c r="C16" i="41"/>
  <c r="E16" i="41"/>
  <c r="S15" i="41" l="1"/>
  <c r="E17" i="41"/>
  <c r="A18" i="41"/>
  <c r="C17" i="41"/>
  <c r="B17" i="41"/>
  <c r="D17" i="41"/>
  <c r="F17" i="41" s="1"/>
  <c r="S16" i="41" l="1"/>
  <c r="C18" i="41"/>
  <c r="D18" i="41"/>
  <c r="F18" i="41" s="1"/>
  <c r="E18" i="41"/>
  <c r="A19" i="41"/>
  <c r="B18" i="41"/>
  <c r="S17" i="41" l="1"/>
  <c r="C19" i="41"/>
  <c r="E19" i="41"/>
  <c r="B19" i="41"/>
  <c r="A20" i="41"/>
  <c r="D19" i="41"/>
  <c r="F19" i="41" s="1"/>
  <c r="S18" i="41" l="1"/>
  <c r="B20" i="41"/>
  <c r="C20" i="41"/>
  <c r="A21" i="41"/>
  <c r="E20" i="41"/>
  <c r="D20" i="41"/>
  <c r="F20" i="41" s="1"/>
  <c r="S19" i="41" l="1"/>
  <c r="C21" i="41"/>
  <c r="D21" i="41"/>
  <c r="F21" i="41" s="1"/>
  <c r="E21" i="41"/>
  <c r="B21" i="41"/>
  <c r="A22" i="41"/>
  <c r="S20" i="41" l="1"/>
  <c r="E22" i="41"/>
  <c r="C22" i="41"/>
  <c r="B22" i="41"/>
  <c r="A23" i="41"/>
  <c r="D22" i="41"/>
  <c r="F22" i="41" s="1"/>
  <c r="S21" i="41" l="1"/>
  <c r="E23" i="41"/>
  <c r="A24" i="41"/>
  <c r="D23" i="41"/>
  <c r="F23" i="41" s="1"/>
  <c r="B23" i="41"/>
  <c r="C23" i="41"/>
  <c r="S22" i="41" l="1"/>
  <c r="E24" i="41"/>
  <c r="C24" i="41"/>
  <c r="B24" i="41"/>
  <c r="A25" i="41"/>
  <c r="D24" i="41"/>
  <c r="F24" i="41" s="1"/>
  <c r="S23" i="41" l="1"/>
  <c r="C25" i="41"/>
  <c r="E25" i="41"/>
  <c r="D25" i="41"/>
  <c r="F25" i="41" s="1"/>
  <c r="A26" i="41"/>
  <c r="B25" i="41"/>
  <c r="S24" i="41" l="1"/>
  <c r="B26" i="41"/>
  <c r="D26" i="41"/>
  <c r="C26" i="41"/>
  <c r="F26" i="41"/>
  <c r="A27" i="41"/>
  <c r="E26" i="41"/>
  <c r="S25" i="41" l="1"/>
  <c r="D27" i="41"/>
  <c r="F27" i="41" s="1"/>
  <c r="C27" i="41"/>
  <c r="E27" i="41"/>
  <c r="B27" i="41"/>
  <c r="A28" i="41"/>
  <c r="S26" i="41" l="1"/>
  <c r="D28" i="41"/>
  <c r="E28" i="41"/>
  <c r="C28" i="41"/>
  <c r="B28" i="41"/>
  <c r="A29" i="41"/>
  <c r="F28" i="41"/>
  <c r="S27" i="41" l="1"/>
  <c r="C29" i="41"/>
  <c r="D29" i="41"/>
  <c r="F29" i="41" s="1"/>
  <c r="B29" i="41"/>
  <c r="A30" i="41"/>
  <c r="E29" i="41"/>
  <c r="S28" i="41" l="1"/>
  <c r="C30" i="41"/>
  <c r="D30" i="41"/>
  <c r="F30" i="41" s="1"/>
  <c r="B30" i="41"/>
  <c r="E30" i="41"/>
  <c r="A31" i="41"/>
  <c r="S29" i="41" l="1"/>
  <c r="E31" i="41"/>
  <c r="C31" i="41"/>
  <c r="D31" i="41"/>
  <c r="F31" i="41" s="1"/>
  <c r="A32" i="41"/>
  <c r="B31" i="41"/>
  <c r="S30" i="41" l="1"/>
  <c r="C32" i="41"/>
  <c r="D32" i="41"/>
  <c r="B32" i="41"/>
  <c r="F32" i="41"/>
  <c r="E32" i="41"/>
  <c r="A33" i="41"/>
  <c r="S31" i="41" l="1"/>
  <c r="D33" i="41"/>
  <c r="F33" i="41" s="1"/>
  <c r="E33" i="41"/>
  <c r="C33" i="41"/>
  <c r="B33" i="41"/>
  <c r="A34" i="41"/>
  <c r="S32" i="41" l="1"/>
  <c r="E34" i="41"/>
  <c r="C34" i="41"/>
  <c r="D34" i="41"/>
  <c r="F34" i="41" s="1"/>
  <c r="I5" i="41"/>
  <c r="B34" i="41"/>
  <c r="S33" i="41" l="1"/>
  <c r="L5" i="41"/>
  <c r="N5" i="41" s="1"/>
  <c r="J5" i="41"/>
  <c r="K5" i="41"/>
  <c r="I6" i="41"/>
  <c r="S34" i="41" l="1"/>
  <c r="K6" i="41"/>
  <c r="L6" i="41"/>
  <c r="N6" i="41" s="1"/>
  <c r="M6" i="41"/>
  <c r="J6" i="41"/>
  <c r="I7" i="41"/>
  <c r="S35" i="41" l="1"/>
  <c r="K7" i="41"/>
  <c r="J7" i="41"/>
  <c r="I8" i="41"/>
  <c r="M7" i="41"/>
  <c r="L7" i="41"/>
  <c r="N7" i="41" s="1"/>
  <c r="S36" i="41" l="1"/>
  <c r="L8" i="41"/>
  <c r="J8" i="41"/>
  <c r="M8" i="41"/>
  <c r="I9" i="41"/>
  <c r="K8" i="41"/>
  <c r="N8" i="41"/>
  <c r="S37" i="41" l="1"/>
  <c r="M9" i="41"/>
  <c r="K9" i="41"/>
  <c r="J9" i="41"/>
  <c r="L9" i="41"/>
  <c r="N9" i="41" s="1"/>
  <c r="I10" i="41"/>
  <c r="S38" i="41" l="1"/>
  <c r="K10" i="41"/>
  <c r="L10" i="41"/>
  <c r="N10" i="41" s="1"/>
  <c r="M10" i="41"/>
  <c r="J10" i="41"/>
  <c r="I11" i="41"/>
  <c r="S39" i="41" l="1"/>
  <c r="M11" i="41"/>
  <c r="K11" i="41"/>
  <c r="J11" i="41"/>
  <c r="L11" i="41"/>
  <c r="N11" i="41" s="1"/>
  <c r="I12" i="41"/>
  <c r="S40" i="41" l="1"/>
  <c r="J12" i="41"/>
  <c r="K12" i="41"/>
  <c r="M12" i="41"/>
  <c r="I13" i="41"/>
  <c r="L12" i="41"/>
  <c r="N12" i="41" s="1"/>
  <c r="S41" i="41" l="1"/>
  <c r="L13" i="41"/>
  <c r="M13" i="41"/>
  <c r="J13" i="41"/>
  <c r="K13" i="41"/>
  <c r="I14" i="41"/>
  <c r="N13" i="41"/>
  <c r="S42" i="41" l="1"/>
  <c r="J14" i="41"/>
  <c r="L14" i="41"/>
  <c r="N14" i="41" s="1"/>
  <c r="M14" i="41"/>
  <c r="K14" i="41"/>
  <c r="I15" i="41"/>
  <c r="S43" i="41" l="1"/>
  <c r="K15" i="41"/>
  <c r="L15" i="41"/>
  <c r="N15" i="41" s="1"/>
  <c r="J15" i="41"/>
  <c r="I16" i="41"/>
  <c r="M15" i="41"/>
  <c r="S44" i="41" l="1"/>
  <c r="M16" i="41"/>
  <c r="K16" i="41"/>
  <c r="L16" i="41"/>
  <c r="N16" i="41" s="1"/>
  <c r="I17" i="41"/>
  <c r="J16" i="41"/>
  <c r="S45" i="41" l="1"/>
  <c r="L17" i="41"/>
  <c r="N17" i="41" s="1"/>
  <c r="K17" i="41"/>
  <c r="M17" i="41"/>
  <c r="J17" i="41"/>
  <c r="I18" i="41"/>
  <c r="S46" i="41" l="1"/>
  <c r="J18" i="41"/>
  <c r="M18" i="41"/>
  <c r="K18" i="41"/>
  <c r="L18" i="41"/>
  <c r="N18" i="41" s="1"/>
  <c r="I19" i="41"/>
  <c r="S47" i="41" l="1"/>
  <c r="M19" i="41"/>
  <c r="L19" i="41"/>
  <c r="N19" i="41" s="1"/>
  <c r="I20" i="41"/>
  <c r="K19" i="41"/>
  <c r="J19" i="41"/>
  <c r="S48" i="41" l="1"/>
  <c r="J20" i="41"/>
  <c r="K20" i="41"/>
  <c r="M20" i="41"/>
  <c r="I21" i="41"/>
  <c r="L20" i="41"/>
  <c r="N20" i="41" s="1"/>
  <c r="S49" i="41" l="1"/>
  <c r="J21" i="41"/>
  <c r="L21" i="41"/>
  <c r="N21" i="41" s="1"/>
  <c r="K21" i="41"/>
  <c r="M21" i="41"/>
  <c r="I22" i="41"/>
  <c r="S50" i="41" l="1"/>
  <c r="L22" i="41"/>
  <c r="K22" i="41"/>
  <c r="M22" i="41"/>
  <c r="N22" i="41"/>
  <c r="I23" i="41"/>
  <c r="J22" i="41"/>
  <c r="S51" i="41" l="1"/>
  <c r="M23" i="41"/>
  <c r="J23" i="41"/>
  <c r="K23" i="41"/>
  <c r="L23" i="41"/>
  <c r="N23" i="41" s="1"/>
  <c r="I24" i="41"/>
  <c r="S52" i="41" l="1"/>
  <c r="J24" i="41"/>
  <c r="M24" i="41"/>
  <c r="I25" i="41"/>
  <c r="L24" i="41"/>
  <c r="N24" i="41" s="1"/>
  <c r="K24" i="41"/>
  <c r="S53" i="41" l="1"/>
  <c r="K25" i="41"/>
  <c r="L25" i="41"/>
  <c r="N25" i="41" s="1"/>
  <c r="J25" i="41"/>
  <c r="I26" i="41"/>
  <c r="M25" i="41"/>
  <c r="S54" i="41" l="1"/>
  <c r="K26" i="41"/>
  <c r="L26" i="41"/>
  <c r="N26" i="41" s="1"/>
  <c r="J26" i="41"/>
  <c r="M26" i="41"/>
  <c r="I27" i="41"/>
  <c r="S55" i="41" l="1"/>
  <c r="K27" i="41"/>
  <c r="M27" i="41"/>
  <c r="J27" i="41"/>
  <c r="I28" i="41"/>
  <c r="L27" i="41"/>
  <c r="N27" i="41" s="1"/>
  <c r="S56" i="41" l="1"/>
  <c r="L28" i="41"/>
  <c r="N28" i="41" s="1"/>
  <c r="J28" i="41"/>
  <c r="K28" i="41"/>
  <c r="I29" i="41"/>
  <c r="M28" i="41"/>
  <c r="S57" i="41" l="1"/>
  <c r="L29" i="41"/>
  <c r="M29" i="41"/>
  <c r="J29" i="41"/>
  <c r="K29" i="41"/>
  <c r="I30" i="41"/>
  <c r="N29" i="41"/>
  <c r="S58" i="41" l="1"/>
  <c r="J30" i="41"/>
  <c r="L30" i="41"/>
  <c r="N30" i="41" s="1"/>
  <c r="K30" i="41"/>
  <c r="I31" i="41"/>
  <c r="M30" i="41"/>
  <c r="M31" i="41" l="1"/>
  <c r="K31" i="41"/>
  <c r="L31" i="41"/>
  <c r="N31" i="41" s="1"/>
  <c r="I32" i="41"/>
  <c r="J31" i="41"/>
  <c r="S59" i="41"/>
  <c r="S60" i="41" l="1"/>
  <c r="M32" i="41"/>
  <c r="L32" i="41"/>
  <c r="N32" i="41" s="1"/>
  <c r="J32" i="41"/>
  <c r="I33" i="41"/>
  <c r="K32" i="41"/>
  <c r="S61" i="41" l="1"/>
  <c r="M33" i="41"/>
  <c r="J33" i="41"/>
  <c r="K33" i="41"/>
  <c r="I34" i="41"/>
  <c r="L33" i="41"/>
  <c r="N33" i="41" s="1"/>
  <c r="S62" i="41" l="1"/>
  <c r="M34" i="41"/>
  <c r="K34" i="41"/>
  <c r="J34" i="41"/>
  <c r="L34" i="41"/>
  <c r="N34" i="41" s="1"/>
  <c r="S63" i="41" l="1"/>
  <c r="D17" i="44" s="1"/>
  <c r="B123" i="45" s="1"/>
  <c r="A29" i="47"/>
  <c r="A96" i="47"/>
  <c r="A161" i="47"/>
  <c r="A430" i="47"/>
  <c r="B16" i="44"/>
  <c r="D433" i="47" l="1"/>
  <c r="D32" i="47"/>
  <c r="D164" i="47"/>
  <c r="D99" i="47"/>
  <c r="K21" i="44"/>
  <c r="B119" i="45"/>
  <c r="E19" i="50"/>
</calcChain>
</file>

<file path=xl/sharedStrings.xml><?xml version="1.0" encoding="utf-8"?>
<sst xmlns="http://schemas.openxmlformats.org/spreadsheetml/2006/main" count="6118" uniqueCount="1989">
  <si>
    <t>%</t>
  </si>
  <si>
    <t>Cash</t>
  </si>
  <si>
    <t>#</t>
  </si>
  <si>
    <t xml:space="preserve"> </t>
  </si>
  <si>
    <t>ILS</t>
  </si>
  <si>
    <t>Total</t>
  </si>
  <si>
    <t>Year</t>
  </si>
  <si>
    <t>Time</t>
  </si>
  <si>
    <t>Grace Period</t>
  </si>
  <si>
    <t>Lease Amount</t>
  </si>
  <si>
    <t>PCMA fees</t>
  </si>
  <si>
    <t>Total Lease Amount</t>
  </si>
  <si>
    <t>Month</t>
  </si>
  <si>
    <t>IRR</t>
  </si>
  <si>
    <t>Net Cash Flow</t>
  </si>
  <si>
    <t>Date</t>
  </si>
  <si>
    <t>Total Withdrawals</t>
  </si>
  <si>
    <t>Season</t>
  </si>
  <si>
    <t>High</t>
  </si>
  <si>
    <t>Dull</t>
  </si>
  <si>
    <t>Subtotal</t>
  </si>
  <si>
    <t>New</t>
  </si>
  <si>
    <t>USD</t>
  </si>
  <si>
    <t>Principle</t>
  </si>
  <si>
    <t>Income</t>
  </si>
  <si>
    <t>Ijara PMT with VAT</t>
  </si>
  <si>
    <t>Ijara PMT w/o VAT</t>
  </si>
  <si>
    <t>O/S Blc</t>
  </si>
  <si>
    <t>JOD</t>
  </si>
  <si>
    <t>EUR</t>
  </si>
  <si>
    <t>Profit</t>
  </si>
  <si>
    <t>Disbursement</t>
  </si>
  <si>
    <t>Principal Blc</t>
  </si>
  <si>
    <t>IRR variance</t>
  </si>
  <si>
    <t>Revised tenor</t>
  </si>
  <si>
    <t># of PMTs</t>
  </si>
  <si>
    <t>M</t>
  </si>
  <si>
    <t>PMT</t>
  </si>
  <si>
    <t>Avg</t>
  </si>
  <si>
    <t>Normal</t>
  </si>
  <si>
    <t>normal</t>
  </si>
  <si>
    <t>Currency</t>
  </si>
  <si>
    <t>Collateral</t>
  </si>
  <si>
    <t>Cash Security</t>
  </si>
  <si>
    <t>Subtotal (USD)</t>
  </si>
  <si>
    <t>Subtotal (ILS)</t>
  </si>
  <si>
    <t>Amount on Limit / year</t>
  </si>
  <si>
    <t>Tot PMTs</t>
  </si>
  <si>
    <t>Monthly PMT</t>
  </si>
  <si>
    <t>Cash Security + Equip</t>
  </si>
  <si>
    <t>Subtotal (EUR)</t>
  </si>
  <si>
    <t>Subtotal (JOD)</t>
  </si>
  <si>
    <t>Interest Rate</t>
  </si>
  <si>
    <t>-</t>
  </si>
  <si>
    <t>Ijara Interest Exp</t>
  </si>
  <si>
    <t>Amount on O/S per year</t>
  </si>
  <si>
    <t>Land #1</t>
  </si>
  <si>
    <t>Land #2</t>
  </si>
  <si>
    <t>Land #3</t>
  </si>
  <si>
    <t>Value (USD)</t>
  </si>
  <si>
    <t>Value (JOD)</t>
  </si>
  <si>
    <t>B/S</t>
  </si>
  <si>
    <t>I/S</t>
  </si>
  <si>
    <t>Ijara Short-term principle</t>
  </si>
  <si>
    <t>Ijara Long-term principle</t>
  </si>
  <si>
    <t>Lease#</t>
  </si>
  <si>
    <t>Lease #</t>
  </si>
  <si>
    <t>Ijara PMTs with VAT</t>
  </si>
  <si>
    <t>VAT receivables</t>
  </si>
  <si>
    <t>Ijara PMTs w/o VAT</t>
  </si>
  <si>
    <t>Princpl PMT</t>
  </si>
  <si>
    <t>Tenor =</t>
  </si>
  <si>
    <t>Net Deposits</t>
  </si>
  <si>
    <t>Lease Limit =</t>
  </si>
  <si>
    <t>Cash flow stat</t>
  </si>
  <si>
    <t>note that the new lease amount may vairy a bit depending on the ILS/USD Fx rate</t>
  </si>
  <si>
    <t>Lease# 1</t>
  </si>
  <si>
    <t>Lease# 2</t>
  </si>
  <si>
    <t>Lease# 3</t>
  </si>
  <si>
    <t>Lease# 4</t>
  </si>
  <si>
    <t>Lease# 5</t>
  </si>
  <si>
    <t>Lease# 6</t>
  </si>
  <si>
    <t>Lease# 7</t>
  </si>
  <si>
    <t>Lease# 8</t>
  </si>
  <si>
    <t>Lease# 9</t>
  </si>
  <si>
    <t>Lease# 10</t>
  </si>
  <si>
    <t>New Lease</t>
  </si>
  <si>
    <t>Total Leases</t>
  </si>
  <si>
    <t>Smallest Lease</t>
  </si>
  <si>
    <t>Cash &amp; Cash Equivalent Collaterals</t>
  </si>
  <si>
    <t>Dr.</t>
  </si>
  <si>
    <t>Cr.</t>
  </si>
  <si>
    <t>Bulk RePMTs</t>
  </si>
  <si>
    <t>Cheques</t>
  </si>
  <si>
    <t>Furthermore, client will transfer several USD 2000 payments per month from his bank account at Palestine Islamic Bank to PIC's bank account (at same bank), starting from May-2016, to deem as an extra collateral (not an obligatory procedure just an extra collateral),</t>
  </si>
  <si>
    <t>The following table portrays client's exposure with PIC for the coming period, taking into consideration intermittent bulk repayments from cheque receipts that should act as collateral and reduce client's exposure:</t>
  </si>
  <si>
    <t>Ijara Exposure with VAT</t>
  </si>
  <si>
    <t>Cheques Collateral Balance</t>
  </si>
  <si>
    <t>Land Collateral</t>
  </si>
  <si>
    <t>Pledged CAT Excavator</t>
  </si>
  <si>
    <t>Collateral Coverage Ratio</t>
  </si>
  <si>
    <t>Monthly Ijara PMTs with VAT</t>
  </si>
  <si>
    <t>Monthly EBITDA (projected)</t>
  </si>
  <si>
    <r>
      <rPr>
        <b/>
        <u/>
        <sz val="10"/>
        <color theme="1"/>
        <rFont val="Calibri"/>
        <family val="2"/>
        <scheme val="minor"/>
      </rPr>
      <t>Notes:</t>
    </r>
    <r>
      <rPr>
        <sz val="10"/>
        <color theme="1"/>
        <rFont val="Calibri"/>
        <family val="2"/>
        <scheme val="minor"/>
      </rPr>
      <t xml:space="preserve"> 
• Assignment of a current project proceeds to sub-contractor (client) and endorsed to PIC to act as a collateral and be utilized to close the existing leases consequently at the point that the available outstanding balance of the proceeds meet the least/ next outstanding balance of the existing leases in due course, until two of the previous leases are fully prematurely repaid, given that the suggested proceeds to be acquired/ endorsed will equal to USD 90k (USD 10k per month), starting from Sep-2016. The purpose of this procedure is to mitigate PIC's risk exposure with client, noting that client is committed to Ijara payments with no delays.
• Ijara instalments for the proposed lease stand at USD 7,147 for months Mar thru Nov, and months Dec thru Feb are blank payments, due to client's seasonality business.
• The collateral coverage ratio does not include the asset to be leased value (mobile plant crusher), which stands at USD 347k.</t>
    </r>
  </si>
  <si>
    <t>• Client will provide/ endorse to PIC cheque receipts for his project on hand that will be withdrawn from the project's main contractor's bank account (in this case client is a subcontractor for the project), which will be utilized to close the existing leases consequently at the point that the available outstanding balance of those cheques meet the least/ next outstanding balance of the existing leases until the three previous leases are fully prematurely repaid, given that the suggested cheques to be acquired/ endorsed will equal to USD 180k (USD 10k per month). The purpose of this procedure is to mitigate PIC's risk exposure with client.</t>
  </si>
  <si>
    <t>Rentals with VAT</t>
  </si>
  <si>
    <t>Rentals w/o VAT</t>
  </si>
  <si>
    <t>Bank Transfer Fees</t>
  </si>
  <si>
    <t>Remarks</t>
  </si>
  <si>
    <t>SME</t>
  </si>
  <si>
    <t>نعم</t>
  </si>
  <si>
    <t>لا</t>
  </si>
  <si>
    <t>متوفرة</t>
  </si>
  <si>
    <t>سيتم إعادة إصدارها</t>
  </si>
  <si>
    <t>لا يمتلكها</t>
  </si>
  <si>
    <t>مقاصة</t>
  </si>
  <si>
    <t>محلية</t>
  </si>
  <si>
    <t>لا يوجد</t>
  </si>
  <si>
    <t>ض.ق.م (محلية)</t>
  </si>
  <si>
    <t>ض.ق.م (مقاصة)</t>
  </si>
  <si>
    <t>لا يوجد ضريبة</t>
  </si>
  <si>
    <t>العملات</t>
  </si>
  <si>
    <t>سعر التحويل</t>
  </si>
  <si>
    <t>الضريبة</t>
  </si>
  <si>
    <t>نوع الفاتورة</t>
  </si>
  <si>
    <t>شهادة خصم المصدر</t>
  </si>
  <si>
    <t>الحالة الاجتماعية</t>
  </si>
  <si>
    <t>متزوج</t>
  </si>
  <si>
    <t>اعزب</t>
  </si>
  <si>
    <t>ارمل</t>
  </si>
  <si>
    <t>الحالة الوظيفية</t>
  </si>
  <si>
    <t>غير متوفرة</t>
  </si>
  <si>
    <t>حاليا</t>
  </si>
  <si>
    <t>المتوقعة</t>
  </si>
  <si>
    <t>فرد</t>
  </si>
  <si>
    <t>شركة</t>
  </si>
  <si>
    <t>طبيعة الزبون</t>
  </si>
  <si>
    <t>نوع الزبون</t>
  </si>
  <si>
    <t>راتب ثابت ومعروف</t>
  </si>
  <si>
    <t>لا يوجد أوراق اثبات رسمية لعمل الزبون</t>
  </si>
  <si>
    <t>الزبون فرد ولديه ملف ضريبي</t>
  </si>
  <si>
    <t xml:space="preserve">أكثر من زبون في الشراكة ولديهم ملف ضريبي ولكن غير مسجلين كشركة </t>
  </si>
  <si>
    <t>شركة مسجلة ومالكيها لديهم مسؤولية غير محدودة على الأصول الشخصية (عادة شركة عائلية)</t>
  </si>
  <si>
    <t>يتم اعتبارها شركة صغيرة أو متوسطة اذا كانت المبيعات &gt; 100 الف دولار</t>
  </si>
  <si>
    <t>يتم اعتبارها شركة كبيرة اذا كانت المبيعات &gt; 500 الف دولار</t>
  </si>
  <si>
    <t>شركة مساهمة عامة مدرجة</t>
  </si>
  <si>
    <t>شركات صغيرة ومتوسطة</t>
  </si>
  <si>
    <t>ملكية فردية</t>
  </si>
  <si>
    <t>الدخل</t>
  </si>
  <si>
    <t>عبء الدين</t>
  </si>
  <si>
    <t>اسم الزبون</t>
  </si>
  <si>
    <t>تصنيف الشيكات</t>
  </si>
  <si>
    <t>نوع الائتمان</t>
  </si>
  <si>
    <t>نوع التعرض الائتماني</t>
  </si>
  <si>
    <t>البنك</t>
  </si>
  <si>
    <t>العملة</t>
  </si>
  <si>
    <t>الحد</t>
  </si>
  <si>
    <t>الرصيد القائم</t>
  </si>
  <si>
    <t>الدفعة الشهري</t>
  </si>
  <si>
    <t>الضمانات</t>
  </si>
  <si>
    <t>قيمة الضمانة</t>
  </si>
  <si>
    <t>تغطية الضمانة</t>
  </si>
  <si>
    <t>المدة (اشهر)</t>
  </si>
  <si>
    <t>المدة (سنوات)</t>
  </si>
  <si>
    <t>القيمة الكلية</t>
  </si>
  <si>
    <t>القيمة (الدولار)</t>
  </si>
  <si>
    <t>القيمة</t>
  </si>
  <si>
    <t>التسهيلات المباشرة (مقترض)</t>
  </si>
  <si>
    <t>التسهيلات غير المباشرة (كفيل)</t>
  </si>
  <si>
    <t>قروض</t>
  </si>
  <si>
    <t>جاري مدين</t>
  </si>
  <si>
    <t>حسابات جارية مكشوفة</t>
  </si>
  <si>
    <t>بطاقات ائتمانية</t>
  </si>
  <si>
    <t>اعتمادات مستندية</t>
  </si>
  <si>
    <t>الكفالات البنكية</t>
  </si>
  <si>
    <t>مجموع التسهيلات المباشرة (دولار)</t>
  </si>
  <si>
    <t>مجموع التسهيلات غير المباشرة (دولار)</t>
  </si>
  <si>
    <t>المجموع (دولار)</t>
  </si>
  <si>
    <t>ضمانة نقدية</t>
  </si>
  <si>
    <t>حساب الفائدة</t>
  </si>
  <si>
    <t>صافي الايداعات</t>
  </si>
  <si>
    <t>مجموع السحوبات</t>
  </si>
  <si>
    <t>الرصيد الافتتاحي</t>
  </si>
  <si>
    <t>الرصيد النهائي</t>
  </si>
  <si>
    <t>الشيكات المرفوضة</t>
  </si>
  <si>
    <t>الأصل/ الأصول موضوع التمويل</t>
  </si>
  <si>
    <t>الأصل</t>
  </si>
  <si>
    <t>تمويل الزبون الذاتي</t>
  </si>
  <si>
    <t>تمويل شركة الاجارة</t>
  </si>
  <si>
    <r>
      <t xml:space="preserve"># الايجار
</t>
    </r>
    <r>
      <rPr>
        <b/>
        <sz val="10"/>
        <color theme="1"/>
        <rFont val="Calibri"/>
        <family val="2"/>
        <scheme val="minor"/>
      </rPr>
      <t>(من النظام)</t>
    </r>
  </si>
  <si>
    <t>حد الايجار</t>
  </si>
  <si>
    <t>عدد الدفعات المدفوعة</t>
  </si>
  <si>
    <t>الدفعة الشهرية</t>
  </si>
  <si>
    <t>قيمة الأصل</t>
  </si>
  <si>
    <t>ضمانات إضافية</t>
  </si>
  <si>
    <t>نسبة التغطية (دون قيمة الأصل)</t>
  </si>
  <si>
    <t>نسبة التغطية (مع قيمة الأصل)</t>
  </si>
  <si>
    <t>المجموع الفرعي</t>
  </si>
  <si>
    <t>المجموع الكلي</t>
  </si>
  <si>
    <t>التزامات الزبون مع شركة الاجارة و نسبة تغطية الضمانات (القيم غير شاملة ض.ق.م)</t>
  </si>
  <si>
    <t>المدن الفلسطينية</t>
  </si>
  <si>
    <t>جنين</t>
  </si>
  <si>
    <t>نابلس</t>
  </si>
  <si>
    <t>سلفيت</t>
  </si>
  <si>
    <t>الخليل</t>
  </si>
  <si>
    <t>الكفيل الأول:</t>
  </si>
  <si>
    <t>الكفيل الثالث:</t>
  </si>
  <si>
    <t>الكفيل الثاني:</t>
  </si>
  <si>
    <t>الكفيل الرابع:</t>
  </si>
  <si>
    <t>الاسم</t>
  </si>
  <si>
    <t>معلومات إضافية</t>
  </si>
  <si>
    <t>نوع الدخل</t>
  </si>
  <si>
    <t>صاحب العمل</t>
  </si>
  <si>
    <t>علاقة الكفيل مع الزبون</t>
  </si>
  <si>
    <t>مصدر الدخل الأول</t>
  </si>
  <si>
    <t>مصدر الدخل الثاني</t>
  </si>
  <si>
    <t>مصدر الدخل الثالث</t>
  </si>
  <si>
    <t>مصدر الدخل الرابع</t>
  </si>
  <si>
    <t>Yes</t>
  </si>
  <si>
    <t>No</t>
  </si>
  <si>
    <t>Insurance &amp; License</t>
  </si>
  <si>
    <t xml:space="preserve">مرابحة </t>
  </si>
  <si>
    <t>الدفعة الأولى</t>
  </si>
  <si>
    <t>تمويل الاجارة</t>
  </si>
  <si>
    <t>السعر (غير شامل ض.ق.م.)</t>
  </si>
  <si>
    <t>السعر بالدولار (شامل ض.ق.م.)</t>
  </si>
  <si>
    <t>السعر (شامل ض.ق.م)</t>
  </si>
  <si>
    <t>السعر</t>
  </si>
  <si>
    <t>Bank</t>
  </si>
  <si>
    <t>Returned Cheques</t>
  </si>
  <si>
    <t>Avg Monthly Deposits</t>
  </si>
  <si>
    <t>Bounced Cheques</t>
  </si>
  <si>
    <t>Beginning Balance</t>
  </si>
  <si>
    <t>Ending Balance</t>
  </si>
  <si>
    <t>Total (USD)</t>
  </si>
  <si>
    <t>as on</t>
  </si>
  <si>
    <t>Account</t>
  </si>
  <si>
    <t>Balance</t>
  </si>
  <si>
    <t>الشيكات المرتجعة (شيكات زبائن)</t>
  </si>
  <si>
    <t>معدل الإيداع الشهري</t>
  </si>
  <si>
    <t>من تاريخ</t>
  </si>
  <si>
    <t>لغاية تاريخ</t>
  </si>
  <si>
    <t>عدد الأشهر</t>
  </si>
  <si>
    <t>نسبة التغطية</t>
  </si>
  <si>
    <t>قيمة الضمانات</t>
  </si>
  <si>
    <t>المستحقة</t>
  </si>
  <si>
    <t>الأقساط الشهرية</t>
  </si>
  <si>
    <t>تاريخ الاستعلام</t>
  </si>
  <si>
    <t>التسهيلات المباشرة القائمة</t>
  </si>
  <si>
    <t>التسهيلات غير المباشرة القائمة</t>
  </si>
  <si>
    <t>التسهيلات المباشرة المسددة</t>
  </si>
  <si>
    <t>التسهيلات غير المباشرة المسددة</t>
  </si>
  <si>
    <t>تسهيلات مباشرة مسددة</t>
  </si>
  <si>
    <t>تسهيلات غير مباشرة مسددة</t>
  </si>
  <si>
    <t xml:space="preserve">الالتزامات المالية كما في استعلام سلطة النقد </t>
  </si>
  <si>
    <t>الأقساط الشهرية شاملة الاجارة</t>
  </si>
  <si>
    <t>التوقيع:</t>
  </si>
  <si>
    <t>المدير المالي والإداري: حامد طه</t>
  </si>
  <si>
    <t>المجموع (قيمة)</t>
  </si>
  <si>
    <t>المجموع (%)</t>
  </si>
  <si>
    <t>ابن</t>
  </si>
  <si>
    <t>اخ</t>
  </si>
  <si>
    <t>اخت</t>
  </si>
  <si>
    <t>بنت</t>
  </si>
  <si>
    <t>الاب</t>
  </si>
  <si>
    <t>الام</t>
  </si>
  <si>
    <t>زوج</t>
  </si>
  <si>
    <t>زوجة</t>
  </si>
  <si>
    <t>زميل</t>
  </si>
  <si>
    <t>المجموع للاسرة</t>
  </si>
  <si>
    <t>شركة الزبون</t>
  </si>
  <si>
    <t>Jan</t>
  </si>
  <si>
    <t>Feb</t>
  </si>
  <si>
    <t>Mar</t>
  </si>
  <si>
    <t>Apr</t>
  </si>
  <si>
    <t>May</t>
  </si>
  <si>
    <t>Jun</t>
  </si>
  <si>
    <t>Jul</t>
  </si>
  <si>
    <t>Aug</t>
  </si>
  <si>
    <t>Sep</t>
  </si>
  <si>
    <t>Oct</t>
  </si>
  <si>
    <t>Nov</t>
  </si>
  <si>
    <t>Dec</t>
  </si>
  <si>
    <t>نوع الدخل:</t>
  </si>
  <si>
    <t>تاريخ مباشرة العمل:</t>
  </si>
  <si>
    <t>صاحب العمل:</t>
  </si>
  <si>
    <t>المسمى الوظيفي:</t>
  </si>
  <si>
    <t>ملاحظات:</t>
  </si>
  <si>
    <t>الأصول (الممتلكات الشخصية):</t>
  </si>
  <si>
    <t>معلومات أخرى:</t>
  </si>
  <si>
    <t>علاقة الكفيل مع الزبون:</t>
  </si>
  <si>
    <t>العنوان:</t>
  </si>
  <si>
    <t>تاريخ الميلاد:</t>
  </si>
  <si>
    <t>رقم الهوية:</t>
  </si>
  <si>
    <t>رقم الاتصال:</t>
  </si>
  <si>
    <t>العمر:</t>
  </si>
  <si>
    <t>المورد:</t>
  </si>
  <si>
    <t>ممثل المورد:</t>
  </si>
  <si>
    <t>الفاتورة الضريبية:</t>
  </si>
  <si>
    <t>شهادة خصم المصدر:</t>
  </si>
  <si>
    <t>اسم الزبون (اللغة الإنجليزية):</t>
  </si>
  <si>
    <t>المدينة:</t>
  </si>
  <si>
    <t>اسم الشارع:</t>
  </si>
  <si>
    <t>اسم الزبون (اللغة العربية):</t>
  </si>
  <si>
    <t>الحالة الاجتماعية:</t>
  </si>
  <si>
    <t>المنطقة:</t>
  </si>
  <si>
    <t>رقم الشقة:</t>
  </si>
  <si>
    <t>المدير العام: عادل الرمحي</t>
  </si>
  <si>
    <t>Without VAT and USD</t>
  </si>
  <si>
    <t>Months</t>
  </si>
  <si>
    <t>In country transfers</t>
  </si>
  <si>
    <t>Normal Scenario</t>
  </si>
  <si>
    <t>Revised Profit Rate Scenario (Past Grace)</t>
  </si>
  <si>
    <t>Grace Period Scenario</t>
  </si>
  <si>
    <t>Seasonal Scenario</t>
  </si>
  <si>
    <t>Transfer (USD)</t>
  </si>
  <si>
    <t>Bank Fee (USD)</t>
  </si>
  <si>
    <t>Engine</t>
  </si>
  <si>
    <t>Tenor</t>
  </si>
  <si>
    <t>Flat rate</t>
  </si>
  <si>
    <t>Profit Amount</t>
  </si>
  <si>
    <t>Total Receivables</t>
  </si>
  <si>
    <t>Instalment</t>
  </si>
  <si>
    <t>Delivery time (months)</t>
  </si>
  <si>
    <t>Revised Profit Rate</t>
  </si>
  <si>
    <t>Revised Profit Amount</t>
  </si>
  <si>
    <t>Total revised receivables</t>
  </si>
  <si>
    <t>Revised Instalment</t>
  </si>
  <si>
    <t>Adjust rate by</t>
  </si>
  <si>
    <t>Adjusted rate</t>
  </si>
  <si>
    <t>Monthly rental</t>
  </si>
  <si>
    <t>RePMT Type</t>
  </si>
  <si>
    <t>Amount w/o VAT</t>
  </si>
  <si>
    <t>Amount w/ VAT</t>
  </si>
  <si>
    <t>Avg Monthly PMT</t>
  </si>
  <si>
    <t>Change in Profit</t>
  </si>
  <si>
    <t>Revised Tenor</t>
  </si>
  <si>
    <t>Instalment (staggered)</t>
  </si>
  <si>
    <t>USD/ILS</t>
  </si>
  <si>
    <t>Vehicle Price</t>
  </si>
  <si>
    <t>Down Payment</t>
  </si>
  <si>
    <t>PNA VAT</t>
  </si>
  <si>
    <t>Makasa VAT</t>
  </si>
  <si>
    <t>M&amp;Y</t>
  </si>
  <si>
    <t>Principal</t>
  </si>
  <si>
    <t>RePMTs to Client w/ VAT</t>
  </si>
  <si>
    <t>RePMT Amount</t>
  </si>
  <si>
    <t>W/ VAT</t>
  </si>
  <si>
    <t>W/o VAT</t>
  </si>
  <si>
    <t>Note</t>
  </si>
  <si>
    <t>Figures Ex. VAT</t>
  </si>
  <si>
    <t>Insurance</t>
  </si>
  <si>
    <t>المعيار</t>
  </si>
  <si>
    <t>الفعلي</t>
  </si>
  <si>
    <t>تصنيف الزبون على نظام الشيكات</t>
  </si>
  <si>
    <t>A-B</t>
  </si>
  <si>
    <t>مثبت</t>
  </si>
  <si>
    <t>طبيعة عمل الزبون</t>
  </si>
  <si>
    <t xml:space="preserve">غير موسمي </t>
  </si>
  <si>
    <t>معدل الايداعات الشهرية</t>
  </si>
  <si>
    <t>فترة السماح</t>
  </si>
  <si>
    <t>الدفعه الاولى</t>
  </si>
  <si>
    <t>القضايا في المحاكم</t>
  </si>
  <si>
    <t>الزبون قائم</t>
  </si>
  <si>
    <t>ملتزم بالسداد</t>
  </si>
  <si>
    <t>وفق الدخل المصرح عنه</t>
  </si>
  <si>
    <t xml:space="preserve">عبء دين الزبون </t>
  </si>
  <si>
    <t>مدة التمويل</t>
  </si>
  <si>
    <t>اعادة بيع العين المؤجرة</t>
  </si>
  <si>
    <t>متوفر</t>
  </si>
  <si>
    <t>ضمانات اضافية حسب المخاطرة</t>
  </si>
  <si>
    <t>سجل نظيم ماليا</t>
  </si>
  <si>
    <t>نتيجة تقييم المخاطر</t>
  </si>
  <si>
    <t>الوزن</t>
  </si>
  <si>
    <t>المفتاح</t>
  </si>
  <si>
    <t>زبون قائم:</t>
  </si>
  <si>
    <t>الزبون ملتزم بالسداد:</t>
  </si>
  <si>
    <t>العلامة</t>
  </si>
  <si>
    <t>متوسط المخاطر</t>
  </si>
  <si>
    <t>مرتفع المخاطر</t>
  </si>
  <si>
    <t>60% - 75%</t>
  </si>
  <si>
    <t>75% - 100%</t>
  </si>
  <si>
    <t>60% &gt;</t>
  </si>
  <si>
    <t>المخاطرة</t>
  </si>
  <si>
    <t>عملة التمويل</t>
  </si>
  <si>
    <t>الزبون</t>
  </si>
  <si>
    <t>الكفيل / الكفلاء</t>
  </si>
  <si>
    <t>الزبون مثبّت في عمله</t>
  </si>
  <si>
    <t>الاجارة</t>
  </si>
  <si>
    <t>فترة التوريد</t>
  </si>
  <si>
    <t>المورد</t>
  </si>
  <si>
    <t>موقعه</t>
  </si>
  <si>
    <t>محلي</t>
  </si>
  <si>
    <t>خصم مصدر</t>
  </si>
  <si>
    <t>الفاتورة الضريبية</t>
  </si>
  <si>
    <t>العمر</t>
  </si>
  <si>
    <t>مكان السكن</t>
  </si>
  <si>
    <t>21 - 55</t>
  </si>
  <si>
    <t>دون مناطق C والمخيمات</t>
  </si>
  <si>
    <t>السوق الثانوي</t>
  </si>
  <si>
    <t>الاستهلاك</t>
  </si>
  <si>
    <t>العائد من الأصل</t>
  </si>
  <si>
    <t>قرابة غير درجة أولى</t>
  </si>
  <si>
    <t>استعلام سلطة النقد</t>
  </si>
  <si>
    <t>الحساب البنكي</t>
  </si>
  <si>
    <t>استعلام محاكم</t>
  </si>
  <si>
    <t>الصفقة الأولى:</t>
  </si>
  <si>
    <t>الصفقة الثانية:</t>
  </si>
  <si>
    <t>الصفقة الثالثة:</t>
  </si>
  <si>
    <t>الصفقة الرابعة:</t>
  </si>
  <si>
    <t>الصفقة الخامسة:</t>
  </si>
  <si>
    <t>سابق تعامل:</t>
  </si>
  <si>
    <t>سابق تعامل</t>
  </si>
  <si>
    <t>المفضل</t>
  </si>
  <si>
    <t>تجربة سابقة</t>
  </si>
  <si>
    <t>مخاطر مقبولة</t>
  </si>
  <si>
    <t>موقعه:</t>
  </si>
  <si>
    <t>سابق تعامل مع المورد</t>
  </si>
  <si>
    <t>موقع المورد</t>
  </si>
  <si>
    <t>خارجي</t>
  </si>
  <si>
    <t>اتفاقية إعادة الشراء:</t>
  </si>
  <si>
    <t>طبيعة المورد</t>
  </si>
  <si>
    <t>مشتغل مرخص</t>
  </si>
  <si>
    <t>تحقيق عائد للمستأجر</t>
  </si>
  <si>
    <t>التقييم</t>
  </si>
  <si>
    <t>دولار</t>
  </si>
  <si>
    <t>شيكل</t>
  </si>
  <si>
    <t>دولار كرأس مال الشركة لتجنب اية خسائر في سعر صرف العملة</t>
  </si>
  <si>
    <t>نسبة الربح</t>
  </si>
  <si>
    <t>التمويل &lt; 10,000$ : 8%
التمويل &gt; 10,000$ : 7%</t>
  </si>
  <si>
    <t>عملة التمويل:</t>
  </si>
  <si>
    <t>قيمة التمويل:</t>
  </si>
  <si>
    <t>رسوم الهيئة:</t>
  </si>
  <si>
    <t>تأمين:</t>
  </si>
  <si>
    <t>ترخيص:</t>
  </si>
  <si>
    <t>ربحية الحساب:</t>
  </si>
  <si>
    <t>القسط الشهري:</t>
  </si>
  <si>
    <t>فترة العقد بالاشهر:</t>
  </si>
  <si>
    <t>فترة التوريد بالاشهر:</t>
  </si>
  <si>
    <t>فترة السماح بالاشهر:</t>
  </si>
  <si>
    <t>عدد أقساط الاجارة الشهرية:</t>
  </si>
  <si>
    <t>نسبة الربح (عادي):</t>
  </si>
  <si>
    <t>IRR (Normal):</t>
  </si>
  <si>
    <t>نسبة الربح (معدل):</t>
  </si>
  <si>
    <t>IRR (Revised):</t>
  </si>
  <si>
    <t>الزبون:</t>
  </si>
  <si>
    <t>القطاعات</t>
  </si>
  <si>
    <t>سيارات</t>
  </si>
  <si>
    <t>طبي</t>
  </si>
  <si>
    <t>صناعي</t>
  </si>
  <si>
    <t>انشائي</t>
  </si>
  <si>
    <t>زراعي</t>
  </si>
  <si>
    <t>الطاقة</t>
  </si>
  <si>
    <t>الطباعة</t>
  </si>
  <si>
    <t>تجارة</t>
  </si>
  <si>
    <t>مطاعم</t>
  </si>
  <si>
    <t>نادي رياضي</t>
  </si>
  <si>
    <t>خدماتي</t>
  </si>
  <si>
    <t>القطاع:</t>
  </si>
  <si>
    <t>مدير العلاقة:</t>
  </si>
  <si>
    <t>مثبت:</t>
  </si>
  <si>
    <t>احتمالية التعثر</t>
  </si>
  <si>
    <t>البيان</t>
  </si>
  <si>
    <t>المطلوب</t>
  </si>
  <si>
    <t>السيارات / معدات هندسية</t>
  </si>
  <si>
    <t>دفعة اولى 25% واعلى</t>
  </si>
  <si>
    <t>48 شهر</t>
  </si>
  <si>
    <t>الشيكات</t>
  </si>
  <si>
    <t>60 شهر</t>
  </si>
  <si>
    <t>دفعة اولى اقل من 20%</t>
  </si>
  <si>
    <t>من يزن الحسبة</t>
  </si>
  <si>
    <t>محاكم</t>
  </si>
  <si>
    <t>قضايا مالية</t>
  </si>
  <si>
    <t>الماكينات</t>
  </si>
  <si>
    <t>سنوات الخبرة</t>
  </si>
  <si>
    <t>15% على السنة الاولى و10% على باقي السنوات</t>
  </si>
  <si>
    <t>زبون قائم</t>
  </si>
  <si>
    <t>عملها في طبيعة عمل الزبون</t>
  </si>
  <si>
    <t>الاستعلام الائتماني</t>
  </si>
  <si>
    <t>متعثر بالسداد</t>
  </si>
  <si>
    <t>حصته السوقية</t>
  </si>
  <si>
    <t>قرابة موظفين درجة اولى</t>
  </si>
  <si>
    <t>درجة اولى</t>
  </si>
  <si>
    <t>الطلب على المنتج</t>
  </si>
  <si>
    <t>تورق</t>
  </si>
  <si>
    <t>السمعة الادبية والمالية</t>
  </si>
  <si>
    <t>سيئة من ثلاثة معرفين</t>
  </si>
  <si>
    <t>موافقة مشروطة</t>
  </si>
  <si>
    <t>B</t>
  </si>
  <si>
    <t>اثبات الدخل</t>
  </si>
  <si>
    <t>الاصل</t>
  </si>
  <si>
    <t>سعر الاصل</t>
  </si>
  <si>
    <t>فترة العمل</t>
  </si>
  <si>
    <t>موافقة</t>
  </si>
  <si>
    <t>هيئة او شخصية اعتبارية معروفة ماليا وسيايا واقتصاديا</t>
  </si>
  <si>
    <t>شركة خاصة مسؤولية غير محدودة</t>
  </si>
  <si>
    <t>شريك</t>
  </si>
  <si>
    <t>شركة عادية عامة</t>
  </si>
  <si>
    <t>C</t>
  </si>
  <si>
    <t>D</t>
  </si>
  <si>
    <t>قضية مالية</t>
  </si>
  <si>
    <t>ملاحظات</t>
  </si>
  <si>
    <t>شيكات</t>
  </si>
  <si>
    <t>كمبيالة</t>
  </si>
  <si>
    <t>تصنيف الزبون "C" على نظام الشيكات المعادة</t>
  </si>
  <si>
    <t>تصنيف الزبون "D" على نظام الشيكات المعادة</t>
  </si>
  <si>
    <t>لدى الزبون قضية مالية</t>
  </si>
  <si>
    <t>تحفظّ</t>
  </si>
  <si>
    <t>غير ملتزم بالسداد</t>
  </si>
  <si>
    <t>الزبون قائم وغير ملتزم بالسداد لدينا</t>
  </si>
  <si>
    <t>الزبون لديه أقساط مستحقة حسب استعلام سلطة النقد</t>
  </si>
  <si>
    <t>السمعة الأدبية والمالية:</t>
  </si>
  <si>
    <t>قريب درجة أولى لاحد الموظفين:</t>
  </si>
  <si>
    <t>السمعة الأدبية والمالية</t>
  </si>
  <si>
    <t>جيدة</t>
  </si>
  <si>
    <t>غير جيدة بناء على ثلاثة معرفين</t>
  </si>
  <si>
    <t>السمعة الادبية والمالية غير جيدة بناء على ثلاثة معرفين</t>
  </si>
  <si>
    <t>علاقة المورد مع الزبون:</t>
  </si>
  <si>
    <t>مورد</t>
  </si>
  <si>
    <t>تورق: الأصل مملوك للزبون او لشركته او لقريب درجة أولى</t>
  </si>
  <si>
    <t>طبيعة المنتج:</t>
  </si>
  <si>
    <t>طبيعة المنتج</t>
  </si>
  <si>
    <t>ماكينة</t>
  </si>
  <si>
    <t>مركبة تجارية</t>
  </si>
  <si>
    <t>شاحنة</t>
  </si>
  <si>
    <t>معدة هندسية</t>
  </si>
  <si>
    <t>بضائع</t>
  </si>
  <si>
    <t>جرار زراعي</t>
  </si>
  <si>
    <t>أنظمة طاقة</t>
  </si>
  <si>
    <t>معدات كهربائية</t>
  </si>
  <si>
    <t>طبيعة المنتج: بضائع</t>
  </si>
  <si>
    <t>التمويل</t>
  </si>
  <si>
    <t>تصنيف الزبون على الشيكات</t>
  </si>
  <si>
    <t>نظامية الدخل:</t>
  </si>
  <si>
    <t>نظامية الدخل</t>
  </si>
  <si>
    <t>منتظم</t>
  </si>
  <si>
    <t>موسمي</t>
  </si>
  <si>
    <t>تلائم اقساط الاجارة مع تدفقات الزبون النقدية حيث طبيعة عمله موسمي</t>
  </si>
  <si>
    <t>عقد سنوي</t>
  </si>
  <si>
    <t>موافقة مجلس الإدارة حيث الزبون قرابة درجة أولى لاحد موظفي الشركة</t>
  </si>
  <si>
    <t>تخمين للمعدات ورهونات بنسبة 100%</t>
  </si>
  <si>
    <t>رهونات: سيارة 250%، شقة 125%، ارض 100%، شيكات زبائن 130% (حسب استعلام الشيكات A او B)</t>
  </si>
  <si>
    <t>متوسط القيمة السوقية</t>
  </si>
  <si>
    <t>كفيل/كفلاء او رهونات: سيارة 250%، شقة 125%، ارض 100%، شيكات زبائن 130% (حسب استعلام الشيكات A او B)</t>
  </si>
  <si>
    <t>غير متوفر</t>
  </si>
  <si>
    <t>زبون ملتزم بالسداد</t>
  </si>
  <si>
    <t>ايداعات</t>
  </si>
  <si>
    <t>حركات مكررة (تحويلات داخلية، بيع شراء عملات، عكس قيد...الخ)</t>
  </si>
  <si>
    <t>شيكات زبائن مرتجعة</t>
  </si>
  <si>
    <t>شيكات مرفوضة</t>
  </si>
  <si>
    <t>"تخمين الأصل: "&amp;'تقرير الائتمان'!A24&amp;</t>
  </si>
  <si>
    <t>تخامين الاصل/الاصول</t>
  </si>
  <si>
    <t>المخمّن</t>
  </si>
  <si>
    <t>مركبة خاصة (وكالة)</t>
  </si>
  <si>
    <t>مركبة خاصة (مستورد)</t>
  </si>
  <si>
    <t>مركبة خاصة (مرخصة)</t>
  </si>
  <si>
    <t>لا يوجد فاتورة ضريبية في المركبة كونها مرخصة وبالتالي رفع نسبة الربح الى 10%</t>
  </si>
  <si>
    <t>عنوان السكن</t>
  </si>
  <si>
    <t>مخيم</t>
  </si>
  <si>
    <t>منطقة "ج"</t>
  </si>
  <si>
    <t>IF($B$246='معاير الائتمان'!$B$23," • "&amp;'معاير الائتمان'!$C$23,"")&amp;IF($B$246='معاير الائتمان'!$B$24," • "&amp;'معاير الائتمان'!$C$24,"")&amp;IF($B$252='معاير الائتمان'!$B$25," • "&amp;'معاير الائتمان'!$C$25,"")&amp;IF($B$252='معاير الائتمان'!$B$26," • "&amp;'معاير الائتمان'!$C$26,"")&amp;IF($B$258='معاير الائتمان'!$B$27," • "&amp;'معاير الائتمان'!$C$27,"")&amp;IF($B$258='معاير الائتمان'!$B$28," • "&amp;'معاير الائتمان'!$C$28,"")&amp;IF($B$264='معاير الائتمان'!$B$29," • "&amp;'معاير الائتمان'!$C$29,"")&amp;IF($B$264='معاير الائتمان'!$B$30," • "&amp;'معاير الائتمان'!$C$30,"")</t>
  </si>
  <si>
    <t>مواصفات الاصل</t>
  </si>
  <si>
    <t>رقم الشاصي/ رقم التسلسلي</t>
  </si>
  <si>
    <t>سنة الانتاج</t>
  </si>
  <si>
    <t>مواصفات اخرى</t>
  </si>
  <si>
    <t>تصنيف منطقة السكن:</t>
  </si>
  <si>
    <t>منطقة "أ" او "ب"</t>
  </si>
  <si>
    <t>تصنيف منطقة السكن</t>
  </si>
  <si>
    <t>المنطقة الجغرافية:</t>
  </si>
  <si>
    <t>المنطقة الجغرافية</t>
  </si>
  <si>
    <t>شمال الضفة</t>
  </si>
  <si>
    <t>وسط الضفة</t>
  </si>
  <si>
    <t>جنوب الضفة</t>
  </si>
  <si>
    <t>كفيل براتب محول و/او ذو ملاءة مالية حيث الزبون يسكن في منطقة من الصعب تنفيذ الاجراءات القانونية فيها</t>
  </si>
  <si>
    <t>رقم الدفعة/ الشيك</t>
  </si>
  <si>
    <t>تاريخ الدفعة/ الشيك</t>
  </si>
  <si>
    <t xml:space="preserve">الدفعة </t>
  </si>
  <si>
    <t xml:space="preserve">المجموع </t>
  </si>
  <si>
    <t>اسم المستأجر:</t>
  </si>
  <si>
    <t>/</t>
  </si>
  <si>
    <t>مواصفات الأصل / الأصول المؤجرة</t>
  </si>
  <si>
    <t>التاريخ:</t>
  </si>
  <si>
    <t>رقم طلب الاجارة:</t>
  </si>
  <si>
    <t>رقم الهوية/المشتغل المرخص:</t>
  </si>
  <si>
    <t>معلومات الزبون</t>
  </si>
  <si>
    <t xml:space="preserve">معلومات الكفلاء </t>
  </si>
  <si>
    <t>معلومات طلب الإجارة</t>
  </si>
  <si>
    <t>وصف العين</t>
  </si>
  <si>
    <t>وصف العين المراد استئجارها:</t>
  </si>
  <si>
    <t>تاريخ الإنتاج:</t>
  </si>
  <si>
    <t>عقد التوريد</t>
  </si>
  <si>
    <t>اسم المورد</t>
  </si>
  <si>
    <t>معلومات العقد</t>
  </si>
  <si>
    <t>فترة الإيجار</t>
  </si>
  <si>
    <t>عدد الدفعات</t>
  </si>
  <si>
    <t>قيمة العقد</t>
  </si>
  <si>
    <t>تاريخ بداية العقد</t>
  </si>
  <si>
    <t>تاريخ اول دفعة</t>
  </si>
  <si>
    <t xml:space="preserve">تاريخ آخر دفعة </t>
  </si>
  <si>
    <t>الدفعة المقدمة</t>
  </si>
  <si>
    <t xml:space="preserve">غايات استعمال العين </t>
  </si>
  <si>
    <t>معلومات الكمبيالة</t>
  </si>
  <si>
    <t>مبلغ كمبيالة التأمين
 (كلمات ورقم) طول فترة الإجارة</t>
  </si>
  <si>
    <t>الف وخمسمائة دولار (1,500$)</t>
  </si>
  <si>
    <t>مبلغ الكمبيالة الإجارة كاملة</t>
  </si>
  <si>
    <t xml:space="preserve">عقد التأجير </t>
  </si>
  <si>
    <t>تاريخ العقود</t>
  </si>
  <si>
    <t>تاريخ التوريد والشراء</t>
  </si>
  <si>
    <t>قيمة الدفعة الأولى</t>
  </si>
  <si>
    <t>المبلغ للدفع</t>
  </si>
  <si>
    <t>اسم الزبون حال انه فرد</t>
  </si>
  <si>
    <t>رقم الهوية</t>
  </si>
  <si>
    <t xml:space="preserve">تاريخ الميلاد </t>
  </si>
  <si>
    <t>الهاتف</t>
  </si>
  <si>
    <t xml:space="preserve">اسم الزبون حال انها شركة </t>
  </si>
  <si>
    <t xml:space="preserve">رقم تسجيلها </t>
  </si>
  <si>
    <t>رقم الهوية / التسجيل:</t>
  </si>
  <si>
    <t>اضافة التامين على الجدول</t>
  </si>
  <si>
    <t>القسط الشهري</t>
  </si>
  <si>
    <t xml:space="preserve">رقم عقد التأجير </t>
  </si>
  <si>
    <t>الاول</t>
  </si>
  <si>
    <t>الثاني</t>
  </si>
  <si>
    <t>الثالث</t>
  </si>
  <si>
    <t>الرابع</t>
  </si>
  <si>
    <t>مدير المبيعات: نديم ادريس                                      المدير المالي والإداري: حامد طه                                  المدير العام: عادل الرمحي</t>
  </si>
  <si>
    <t>المحلل الائتماني</t>
  </si>
  <si>
    <t>مجموع الأصول</t>
  </si>
  <si>
    <t>Other fees</t>
  </si>
  <si>
    <t>أدبية</t>
  </si>
  <si>
    <t>عمّالية</t>
  </si>
  <si>
    <t>حسب جدول الدفعات (ملحق رقم 1)</t>
  </si>
  <si>
    <t xml:space="preserve">عقد وعد بالإستئجار مقترن بوعد الشراء والتأجير </t>
  </si>
  <si>
    <t>تاريخ العقد:</t>
  </si>
  <si>
    <t xml:space="preserve">الفريق الثاني:  </t>
  </si>
  <si>
    <t>الفريق الثالث (إن انطبق)</t>
  </si>
  <si>
    <t xml:space="preserve">الكفيل الأول </t>
  </si>
  <si>
    <t xml:space="preserve">الكفيل الثاني </t>
  </si>
  <si>
    <t>الكفيل الثالث</t>
  </si>
  <si>
    <t>الكفيل الرابع</t>
  </si>
  <si>
    <t>وبناء على الطلب المقدم من قبل الواعد بالإستئجار بالتاريخ والرقم المذكورين في البند4.1 و 4.2 من هذا العقد</t>
  </si>
  <si>
    <t>اولا: تعتبر مقدمة هذا العقد واي من ملاحقه ومرفقاته جزء لا يتجزأ منه وتقرأ معه كوحدة واحدة.</t>
  </si>
  <si>
    <t>ثالثا: شروط وأحكام خاصة بالعقد</t>
  </si>
  <si>
    <t>4.1 تاريخ طلب الإجارة:</t>
  </si>
  <si>
    <t xml:space="preserve">4.2 رقم طلب الإجارة: </t>
  </si>
  <si>
    <t>12.1 تاريخ اول دفعة:</t>
  </si>
  <si>
    <t>12.2 تاريخ الدفعة الأخيرة:</t>
  </si>
  <si>
    <t xml:space="preserve">(أ) يجب على الواعد بالإستئجار والفريق الثالث (إن انطبق)  أن يؤدي/ يؤدوا دفعات الإيجار المتفق عليها في البند رقم 11 للمؤجر وعدد دفعات الإيجار المذكورة في البند 9.2 في مواعيد الاستحقاق المحددة في البند 12.1 و 12.2  من هذا العقد وبعقد التاجير باعتباره جزء لا يتجزأ منهما ما لم يتم الاتفاق على خلاف ذلك؛ على أنه من المفهوم للواعد بالإستئجار أنه إذا تخلف عن دفع أي قسط لأكثر من شهر تصبح باقي الأجرة مستحقة الأداء فوراً. ويحق للمؤجر في هذه الحالة إنهاء العقد فوراً، على أن يكون المؤجر قد أخطر المستأجر بضرورة تسديد ما استحق بذمته من قسط/اقساط  خلال مدة عشرة أيام على الأقل وأمتنع المستأجر رغم ذلك عن السداد، وفي هذه الحالة يكون من حق المؤجر إنهاء هذا العقد فوراً  وأن يضع يده على العين المؤجرة هذا  دون الاخلال بكافة حقوقه الأخرى المنصوص عليها في عقد التأجير. </t>
  </si>
  <si>
    <t xml:space="preserve">(ت) أما بخصوص دفعات الإيجار اللاحقة للدفعة المقدمة  فقد تم الإتفاق على إحتسابها بحيث يضاف إليها ما يلي: </t>
  </si>
  <si>
    <t xml:space="preserve">(ث) في حال كان الإيجار متغيرا أو خاضع للمراجعة الدورية من قبل المؤجر، فللمؤجر تعديل الإيجار خلال مدة يومين (2) عمل على الاقل والتي تسبق بداية كل فترة إيجار خلال مدة التأجير. على أنه يجب إخطار الواعد بالإستئجار / المستأجر في حال وقوع أي تغييرات تطرأ على عناصر الإيجار. </t>
  </si>
  <si>
    <t xml:space="preserve">يتم تسديد دفعات الإيجار المتفق عليها في هذا العقد وأي من ملاحقه بما فيها عقد التاجير بموجب شيكات محررة وموقعه من المستأجر ومؤرخة (مؤجلة الدفع) لصالح شركة الإجارة الفلسطينية – أو بأي آلية دفع يتفق عليها لاحقاً –  وفقا للشروط المقررة من قبل المؤجر عند إبرام عقد التأجير. </t>
  </si>
  <si>
    <t>1) دفعة/ دفعات الإيجار المتأخرة؛ 2) دفعة الإيجار الحالية؛ 3) كافة  النفقات و المصاريف التي يتحملها المؤجر كنتيجة  لإخلال / إخفاق المستأجر بتنفيذ إلتزاماته المالية أو غيرها من الإلتزامات المترتبة عليه بموجب هذا العقد و/أو عقد التأجير و/أو أي من ملاحقهما ومرفقاتهما،</t>
  </si>
  <si>
    <t>معلومات الفريق الثاني والمشار الية بالواعد بالإستئجار</t>
  </si>
  <si>
    <t>كفلاء للفريق الثاني بالتكافل والتضامن فيما بينهم وطالما استمرت العلاقة فيما بين الفريق الأول والثاني ويشار اليهم في الفريق الثالث:</t>
  </si>
  <si>
    <t>(ب) وبناء على عقد وعد الاستئجار المنتهي بالتمليك المقترن بوعد الشراء والتأجير، فقد قام المؤجر بالتوقيع على عقد التوريد والشراء مع المورد المذكور اسمة في البند 6.1 و رقم تسجيله في مراقب الشركات حال انة شركة / ورقم هويته حال انة فرد مذكور في البند 6.2 في الجدول ادناه من أجل شراء العين المؤجرة لغايات تأجيرها للمستأجر.</t>
  </si>
  <si>
    <t>ثالثا: شروط واحكام عقد التأجير:</t>
  </si>
  <si>
    <t>5. معلومات العقد</t>
  </si>
  <si>
    <t>رابعا: تعريفات:</t>
  </si>
  <si>
    <t>التأجير: الإجارة المنتهية بالتمليك وفقا لاحكام الشريعة الاسلامية الغراء.</t>
  </si>
  <si>
    <t>إتفاقية القبول والإستلام: وتعني إتفاقية القبول والإستلام التي يتم توقيعها بين المستأجر والمؤجر (والمورد) وفقا لنموذج إتفاقية القبول والإستلام، والمشاراليها بالملحق رقم (2).</t>
  </si>
  <si>
    <t>الدفعة المقدمة: تعني المبلغ الذي يتوجب على المستأجر دفعه للمؤجر مقدماً وفقا لبند10 من الجدول اعلاه.</t>
  </si>
  <si>
    <t>حالات الإخلال: تعني حالات الإخلال بهذا العقد المنصوص عليها والمبينة  في البند (22) من هذا العقد.</t>
  </si>
  <si>
    <t xml:space="preserve">التغيير السلبي الجوهري: أية تغيير أو واقعة من شأنها أن تؤثر بشكل جوهري وسلبي على وضع المستأجر المالي وقدرته على السداد. </t>
  </si>
  <si>
    <t>أعمال الصيانة الإعتيادية: عمليات إصلاح الأعطال والصيانة اللازمة لإستمرار عمل العين المؤجرة  للغاية المحددة لها وبشكل يضمن الحفاظ عليها بحالة جيدة.</t>
  </si>
  <si>
    <t xml:space="preserve">1) ممارسة حقه بالشراء ودفع كامل الدفعة النهائية ونقل ملكية العين المؤجرة لإسمه؛ </t>
  </si>
  <si>
    <t>وللغاية المبينة أعلاه فان من المتفق عليه بين الأطراف أنه ولغايات تمديد عقد التأجير أو من أجل ممارسة المستأجر لخياره بشراء العين المؤجرة،  فيتوجب عليه تقديم طلب خطي من قبله للمؤجر في موعد أقصاه 30 يوماً من تاريخ إنتهاء العقد،  يعرب فيه عن رغبته بتمديد عقد التأجير. ويكون خاضعا لموافقة المؤجر.</t>
  </si>
  <si>
    <t>عقد التوريد والشراء: هو عقد التوريد والشراء للعين المؤجرة والمبرم بين المورد والمشتري (المؤجر).</t>
  </si>
  <si>
    <t>المورد: هو المورد الذي تم التعاقد بينه وبين المؤجر لتوريد العين المؤجرة للمؤجر بهدف تأجيرها للمستأجر بناءً على طلب الاخير.</t>
  </si>
  <si>
    <t>عقد توكيل خاص بتقديم خدمة التامين: يعني عقد الوكالة الموقع بين المؤجر والوكيل والذي بموجبه يقوم الوكيل بالنيابة عن المؤجر بتوفير خدمات التأمين للعين المؤجرة.</t>
  </si>
  <si>
    <t>دفعات تأجيرية إضافية: وتعني كافة المصاريف والنفقات التي تكبدها المؤجر أو أي وكيل مفوض من قبله لغايات شحن و نقل وتسجيل وترخيص وتأمين وصيانة العين المؤجرة للمحافظة عليها بحالة تشغيلية جيدة.</t>
  </si>
  <si>
    <t>تاريخ التسليم: التاريخ الذي يتم فيه تسليم العين المؤجرة للمستأجر وفقا لإتفاقية القبول والتسليم الملحق رقم (2).</t>
  </si>
  <si>
    <t>دفع الأقساط بصورة متساوية: يتم دفع بدل الإيجار باقساط متساوية وفقا لجدول الدفعات ما لم يتم الاتفاق على خلاف ذلك.</t>
  </si>
  <si>
    <t>خسارة جزئية: وتعني حادث أو واقعة ينشأ عنها خسارة أو ضرر للعين المؤجرة، ولكنها لا تؤدي لهلاك العين المؤجرة هلاكا كليا، ولا تحول دون إستخدام العين المؤجرة وفقا للغايات المحددة في هذا العقد.</t>
  </si>
  <si>
    <t>تاريخ إستحقاق دفعات الإيجار: هو آخر يوم عمل لكل مدة إيجار كما هو موضح في جدول الدفعات.</t>
  </si>
  <si>
    <t>الشريعة: وتعني مبادئ الدين الإسلامي والتشريعات الاسلامية.</t>
  </si>
  <si>
    <t xml:space="preserve">مبلغ الانهاء: ويتم تفسيره وفقا للمعنى المحدد له في عقد التعهد بالشراء. </t>
  </si>
  <si>
    <t>"بوالص التأمين": تعني وثيقة التأمين / بوالص التأمين التي تتعلق بالعين المؤجرة.</t>
  </si>
  <si>
    <t xml:space="preserve">خامسا: شروط واحكام عقد الاجارة المنتهية بالتمليك: </t>
  </si>
  <si>
    <t>3.2 بموجب هذا العقد فإن المؤجر يسلم العين المؤجرة للمستأجر للإنتفاع بها طوال مدة هذه الإجارة ما لم يتم إنهاء عقد التأجير هذا وفقا لشروط هذا العقد. ففي هذه الحالة يكون المستأجر ملزما بإعادة العين المؤجرة للمؤجر.</t>
  </si>
  <si>
    <t xml:space="preserve">4. أن بدل إيجار العين المؤجرة  هي مبلغ مساوٍ للفرق بين سعر الشراء منقوصٌ منه الدفعة المقدمة. </t>
  </si>
  <si>
    <t xml:space="preserve">5. وفقا لما تم الاتفاق عليه بين الأطراف فإن الدفعات التأجيرية تتألف مما يلي: </t>
  </si>
  <si>
    <t>5.1 الدفعة المقدمة: والمنصوص عليها بالبند 10 في مقدمة هذا العقد، شاملة لضريبة القيمة المضافة، والتي يتوجب على المستأجر دفعها للمؤجر وفقا لعقد الوعد بالاستئجار المقترن بوعد الشراء التاجير.</t>
  </si>
  <si>
    <t xml:space="preserve">5.2 دفعات الإيجار الثابتة المذكورة في البند 11 من الجدول اعلاة وتكون شاملة لضريبة القيمة المضافة. </t>
  </si>
  <si>
    <t>5.3 الدفعة الإضافية.</t>
  </si>
  <si>
    <t>5.4 الدفعة النهائية هي: 1 دولار أمريكي (دولار واحد فقط) – والتي يكون المستأجر ملزماً  بدفعها لممارسة حقه في الشراء.</t>
  </si>
  <si>
    <t>5.5 من المتفق عليه بين الفريقين أن عملة هذا العقد هي الدولار الأمريكي.</t>
  </si>
  <si>
    <t xml:space="preserve">6. يلتزم المستأجر بتسديد دفعات الإيجار المتفق عليها في هذا العقد وملاحقه من خلال إصدار شيكات محررة وموقعة منه و مؤرخة (مؤجلة الدفع) – أو أي آلية دفع يتفق عليها لاحقاً - لصالح شركة الإجارة الفلسطينية وفقا لجدول الدفعات في الملحق (1) وبحيث يكون تاريخ إستحقاق الشيكات المشار لها موافقاً لتاريخ إستحقاق الدفعات التأجيرية، على أن تسري هذه الآلية على أي دفعات  يكون أو يصبح المستأجر ملزماً بدفعها  نتيجة  قيام المؤجر بدفعها نيابة عنه للغير أو إستحقت على المستأجر للمؤجر لأي سبب من الأسباب أو نتيجة تنفيذ أحكام هذا العقد. </t>
  </si>
  <si>
    <t>7.2. من المتفق عليه بين المؤجر والمستأجر أنه إذا كان إستخدام العين المؤجرة يتطلب تركيبها أو أي جزء منها فلا يتحمل المؤجر المسؤولية القانونية و/أو المالية عن أي خطأ أو ضرر يحدث للعين المؤجرة نتيجة لذلك وأن من المفهوم للمستأجر أن تركيب العين المؤجرة يتم على حساب وعاتق ومسؤولية المستأجر منفرداً.</t>
  </si>
  <si>
    <t xml:space="preserve">7.4. من المفهوم للطرفين أن تسليم العين المؤجرة للمستأجر يتم بموجب اتفاقية القبول والتسليم والتي يتم توقيعها بين المؤجر والمستأجر (والمورد) أو وكلائهم  أو المفوضين عنهم بصورة رسمية وفقا لاحكامها وشروطها. </t>
  </si>
  <si>
    <t xml:space="preserve">8. ملكية العين المؤجرة </t>
  </si>
  <si>
    <t>10. نقل الملكية والحقوق التابعة للعين المؤجرة لطرف ثالث:</t>
  </si>
  <si>
    <t>2- كما انه من المتفق عليه بين الطرفين أنه وخلال مدة التأجير فإنه يحق للمستأجر إحالة كافة حقوقه وإلتزاماته الناشئة عن هذا العقد وغيرها من الوثائق الأخرى المتعلقة بهذا العقد لطرف ثالث، وذلك شريطة الحصول على موافقة المؤجر الخطية على ذلك،  وللغاية المذكورة فإن من المتفق عليه أن يتم  توقيع عقد تأجير بين المستأجر الجديد والمؤجر يتم بموجبه  نقل جميع الحقوق والإلتزامات المترتبة على المستأجر والناشئة عن هذا العقد، على أن  يقوم المؤجر بإصدار جدول دفعات جديد يبين آلية سداد الدفعات التأجيرية وكافة الإلتزامات المترتبة على المستأجر الجديد وفقا لترتيبات الدفع الجديدة.</t>
  </si>
  <si>
    <t>12.1.  بالاضافة إلى الحقوق الأخرى المنصوص عليها في هذا العقد والتشريعات النافذة، للمؤجر الحقوق التالية:</t>
  </si>
  <si>
    <t>12.1.2. أن يطلب من المستأجر المعلومات المالية المنصوص عليها في البند  15.2.</t>
  </si>
  <si>
    <t xml:space="preserve">12.1.3. أن يضع مواد دعائية/ إعلانية على العين المؤجرة وفق التشريعات السارية، على أن يتحمل المؤجر كل المصاريف المتعلقة بهذه الدعايات/الإعلانات. </t>
  </si>
  <si>
    <t>14. حقوق المستأجر</t>
  </si>
  <si>
    <t xml:space="preserve">14.1. يضمن المؤجر بأن تكون حيازة المستأجر للعين المؤجرة غير معرضة لأية معارضة أو منازعة أو ممانعة من الغير. </t>
  </si>
  <si>
    <t>وبخلاف ذلك، وفي حال إخلال المستأجر بالشروط المبينة أعلاه فإن نفقات إصلاح العين المؤجرة ستكون على نفقة المستأجر الخاصة دون الإخلال بحقوق المؤجر بالرجوع على المستأجر بالتعويض عن الضرر في هذه الحالة.</t>
  </si>
  <si>
    <t>14.5 في جميع الأحوال، لا يحق للمستأجر أن يطالب المورد بالتعويض عن أي عيوب في العين المؤجرة إلا إذا أثبت المستأجر وجود هذه العيوب قبل إنتهاء مدة الكفالة أو قبل إستلام العين المؤجرة وفقا لشروط هذا العقد.</t>
  </si>
  <si>
    <t>14.7 من المفهوم للمستأجر أن المؤجر والمورد لن يكونا مسؤولين في مواجهة المستأجرعن إدعاءات أو مطالبات من قبل المستأجر ناشئة عن مواصفات العين المؤجرة إذا كان المستأجر قد قام بتزويد المؤجر أو المورد بمواصفات العين المؤجرة المطلوبة من قبله.</t>
  </si>
  <si>
    <t>15.1. على المستأجر عند تنفيذ هذا العقد و/ أو خلال فترة نفاذه و/ أو عند إنهاؤه و/ أو في حال إنتهاؤه لأي سبب و/ أو عند قبول  و/ أو عند استخدام العين المؤجرة و/ أو في حال قيامه بممارسة حقوق و/ أو تنفيذ إلتزامات المشتري الواردة في عقد التوريد والشراء مراعاة  ما يلي:</t>
  </si>
  <si>
    <t>15.1.1. الحصول على التراخيص اللازمة من الجهات المختصة واللازمة لإستخدام العين المؤجرة بشكل قانوني، وأن يقوم بتجديد ترخيص العين المؤجرة في المواعيد المحددة لذلك وتوفير كافة المتطلبات اللازمة لذلك من طرفه.</t>
  </si>
  <si>
    <t>15.2على المستأجر أن يزود المؤجر بالمعلومات التالية:</t>
  </si>
  <si>
    <t>16. التزامات الكفيل (إن انطبق):</t>
  </si>
  <si>
    <t>17.3 للغاية المبينة أعلاه فإنه يحق للمؤجر أن يفوض المستأجر أو أي شخص آخر يراه مناسبا للقيام بأعمال الصيانة الرئيسية للعين المؤجرة الملقاة على عاتق المؤجر بحيث يكون المستأجر أو الغير وكيلاً ونائباً عن المؤجر للقيام بذلك وفقاً للشروط والأحكام المبينة في عقد وكالة تقديم الخدمة الملحق بهذا العقد بإعتباره جزءً لا يتجزأ منه.</t>
  </si>
  <si>
    <t xml:space="preserve">17.4 على المستأجر أن يضمن المحافظة على العين المؤجرة وصيانتها وأن يقوم بأعمال الصيانة الإعتيادية مع مراعاة إجراء هذه الصيانة من قبل الجهات المعتمدة من المؤجر ومن الشركة المصنعة والجهات المرخصة وباستخدام قطع غيار اصلية تحت طائلة المسؤولية القانونية والمالية وعلى نفقة المستاجر الخاصة.  </t>
  </si>
  <si>
    <t>17.5 على المستأجر أن يحافظ على سجلات دقيقة وكاملة وحديثة لجميع أعمال الصيانة الإعتيادية المتعلقة بالعين المؤجرة وعليه تزويد المؤجر بنسخ عنها عند الطلب فوراً.</t>
  </si>
  <si>
    <t xml:space="preserve">17.6 يتعهد المستأجر بأن يقوم بتعويض المؤجر ضد أية خسائر فعلية (ويستثنى منه الربح الفائت و تكلفة التمويل) والناجمة عن إخفاقه أو إخلاله بتنفيذ إلتزاماته المتعلقة بالصيانة المطلوبة للعين المؤجرة.  </t>
  </si>
  <si>
    <t xml:space="preserve">لا يجوز للمستأجر أن يقوم بأية تعديلات أو إضافات أو تحسينات أو تغييرات أو تبديلات والمشار إليها فيما بعد بـ (التعديلات)  على العين المؤجرة او ان يقوم بتغيير شروط استخدامها او ان يستخدمها بصورة لا تتفق مع غايات استخدامه  الا بعد  الحصول على الموافقة  الخطية المسبقة من المؤجر وبالشروط التي يحددها المؤجر خطيا.  </t>
  </si>
  <si>
    <t>19. خسارة العين المؤجرة</t>
  </si>
  <si>
    <t>19.3 إذا لم يكن الهلاك الجزئي بسبب فعل / تقصير المستأجر، فيجب على المؤجر أن يسمح للمستأجر أو الوكيل باللجوء  لشركة التأمين المؤمنة لإصلاح العين المؤجرة.</t>
  </si>
  <si>
    <t xml:space="preserve">19.4 في حال لم يكن المستأجر سببا في هلاك العين المؤجرة جزئيا، فإن المستأجر لا يكون ملزما بدفع دفعات الإيجار وغيرها من الدفعات في مواعيد الاستحقاق بموجب هذا العقد خلال مدة التوقف عن الإنتفاع فقط، على أنه وبالرغم من ذلك فإن لفريقي هذا العقد  الإتفاق على تعديل الأجرة في هذه الحالة لما فيه مصلحة اطراف  هذا العقد. </t>
  </si>
  <si>
    <t>19.5.2 تكون أي تعويضات  تستحق أو تدفع من قبل شركات التأمين بموجب بوالص التأمين نتيجة الخسارة الكلية من حق المؤجر.</t>
  </si>
  <si>
    <t>20.1 من المتفق عليه أنه يحق للمستأجر وبناءً على موافقة المؤجر الخطية، إحالة حقوقه ونقل إلتزاماته الناشئة عن هذا العقد لطرف ثالث.</t>
  </si>
  <si>
    <t>20.2 وفي جميع الأحوال فإن من المفهوم والملزم للمستأجر انه  لا يحق له أن يقوم بتأجير العين المؤجرة للغير من الباطن أو السماح لأي جهة غير المستأجر بإستخدام أو الإنتفاع بالعين المؤجرة سواء بصورة منفردة أو بالإشتراك مع غيره، أو أن يقوم برهن العين المؤجرة بدون الحصول على موافقة خطية مسبقة من المؤجر.</t>
  </si>
  <si>
    <t>21 التأمين</t>
  </si>
  <si>
    <t>21.1 من المتفق عليه بين الفريقين أن المؤجر (او حسب الإتفاق) سوف يقوم بالتأمين على العين المؤجرة تأمينا شاملاً ضد الخسارة والهلاك وذلك لدى شركة التكافل الإسلامية أو الشركة التي يحددها المؤجر بإرادته المنفردة ووفقا للشروط التي يراها المؤجر مناسبة، وبحيث يكون المؤجر هو المستفيد الوحيد و/أوالمؤمن له في بوليصة التأمين المشار إليها، وعلى أن يقوم المؤجر بتزويد المستأجر بصورة عن بوليصة التأمين في حين تحفظ بوليصة التامين الأصلية لدى المؤجر.</t>
  </si>
  <si>
    <t xml:space="preserve">21.4 على المستأجر الإلتزام بشروط بوليصة التأمين، وعدم السماح للغير بإستخدام العين المؤجرة وفي جميع الأحوال، فإن المستأجر يكون مسؤولاً عن تعويض المؤجر عن أي خسارة أو ضرر يحدث للعين المؤجرة إذا لم تقم شركة التأمين بتعويض المؤجر. </t>
  </si>
  <si>
    <t>21.6 يتعهد المستأجر بإخطار المؤجر فوراً، عن  وقوع أي حادث أو ظرف من شأنه أن يؤدي إلى نشوء مطالبة / إدعاء ناشئ عن بوليصة التأمين، أو أي واقعة من شأنها أن تؤثر على حقوق المؤجر بالمطالبة بالتعويض عن أي ضرر بموجب بوليصة تأمين العين المؤجرة.</t>
  </si>
  <si>
    <t xml:space="preserve">22.1 من المتفق عليه بين الفريقين أن هذا العقد ينتهي في حال حدوث إحدى الحالات التالية: </t>
  </si>
  <si>
    <t>22.1.1 عند هلاك العين المؤجرة هلاكاً كلياً ؛ كما هو موضح في البند 19.5</t>
  </si>
  <si>
    <t>أ. طلب المستأجرالإنهاء، وفقا للبند 14.8</t>
  </si>
  <si>
    <t xml:space="preserve">22.1.4 في حال إنهاء العقد بسبب الإخلال أو التعثر وفقاً لما هو مبين في هذا العقد.  </t>
  </si>
  <si>
    <t>22.3.1 عند توقف نشاط المستأجر أو في حال توقفه عن ممارسة أعماله، أو في حال فقدان أهليته القانونية، أو في حالة الوفاة إذا كان شخص طبيعيا، ولم يكن هناك خلف قانوني له يرغب بقبول الحقوق والإلتزامات المنصوص عليها في هذا العقد.</t>
  </si>
  <si>
    <t>22.3.2  في حال بدء إشهار الإفلاس أو الإعسار أو تصفية المستأجر؛ أو في حال قام المستأجر بإبرام عقد صلح واقي من الإفلاس أو تسوية مع الدائنين، أو تم إعلانه كمفلس أو أصبح معسراً أو قام بإحالة جزء أو جميع ممتلكاته لطرف ثالث؛</t>
  </si>
  <si>
    <t>22.4.3 إخلال المستأجر بأي من تعهداته أو إقراراته أو إلتزاماته المنصوص عليها في هذا العقد، أو إرتكابه لأي مخالفة جوهرية أخرى لهذا العقد أو التشريعات النافذة.</t>
  </si>
  <si>
    <t>22.4.4 حدوث تغيير سلبي جوهري في وضع المستأجر المالي أو القانوني؛</t>
  </si>
  <si>
    <t>22.4.5 إذا لم تعد كفالة كفيل المستأجر قائمة أو أنتهت لأي سبب كان أو زالت لأي عارض قانوني و/ أو واقعي،  ولم يتم إستبدالها بكفالة أخرى مقبولة  للمؤجر وذلك خلال مدة (30 يوم) من تاريخ زوال الكفالة.</t>
  </si>
  <si>
    <t xml:space="preserve">22.4.6 عدم قيام المستأجر بصفته الشخصية أو بصفته وكيلاً عن المؤجر، بصيانة وإصلاح العين المؤجرة في المواعيد المحددة في هذا العقد أو ضمن مدة معقولة إذا لم يحدد هذا العقد وملاحقه موعد محدد لإجراء الصيانة والإصلاح. </t>
  </si>
  <si>
    <t>22.4.7 أي حالات إخلال أخرى منصوص عليها في القوانين والتشريعات النافذة.</t>
  </si>
  <si>
    <t>23.1 يقر ويتعهد المستاجر ان لديه القدرة والاهلية للتوقيع على هذا العقد ويتحمل الالتزامات الناشئة عنه وانه حاصل على كافة التراخيص والتصاريح اللازمة لاشتئجار وتملك العين وفقا للتشريعات النافذة في فلسطين.</t>
  </si>
  <si>
    <t>24.1 يلتزم المستأجر بإعادة العين المؤجرة للمؤجر في حال تم إنهاء هذا العقد وفقا لشروطه وأحكامه.</t>
  </si>
  <si>
    <t>24.2 للغاية المبينة أعلاه فإنه من المفهوم والملزم للمستأجر أنه إذا إمتنع عن إعادة العين المؤجرة للمؤجر وفقا للبند (24.1) أعلاه، فيكون للمؤجر الحق باستعادة حيازة العين المؤجرة وحق التصرف بها،  ولهذه الغاية، يحق للمؤجر وفقا للتشريعات النافذة أن يقوم بتقديم طلب إلى قاضي الأمور المستعجلة لإسترداد حيازة العين المؤجرة للمؤجر. كما انه من المتفق عليه  بأن المستأجر ملزم بإعادة العين المؤجرة على نفقته الخاصة للمؤجر وعليه فإن مصاريف تفكيك، ونقل العين المؤجرة، وتوفير بوليصة تأمين تغطي مخاطر النقل، ومصاريف التحميل، والمصاريف المتعلقة بتسجيل أو شطب تسجيل العين المؤجرة لدى السلطات  ذات الإختصاص وغيرها من المصاريف والتكاليف التي تترتب على ذلك تكون على نفقة المستأجر الخاصة.</t>
  </si>
  <si>
    <t xml:space="preserve">25.1 يوافق المستأجر على قيام المؤجر او من ينوب عنه أو أي من موظفيه /العاملين لديه بالإفصاح عن بعض أو كل المعلومات المتعلقة به وذلك للجهات الاتية: </t>
  </si>
  <si>
    <t>(أ) للمدققين والمستشارين القانونيين وغيرهم من المستشارين المهنيين الخاصين بالمؤجر؛</t>
  </si>
  <si>
    <t>(ه) لأي محكمة فلسطينية أو جهة قضائية مختصة.</t>
  </si>
  <si>
    <t>(و) لمركز إدارة المؤجر أو لفروعه في فلسطين أو خارجها.</t>
  </si>
  <si>
    <t xml:space="preserve">(أ) أن يقوم المؤجر بالإفصاح عن أية معلومات متعلقة بالمستأجر أو بهذا العقد أو بخصوص أداء المستأجر للواجبات/الإلتزامات الموكلة اليه وذلك إلى مكتب الإستعلام الإئتماني.  </t>
  </si>
  <si>
    <t>(ب) تزويد مكتب الإستعلام الائتماني من قبل المؤجر بتقارير الأئتمان الخاصة والمتعلقة بالوكيل (المستأجر) وبالمعلومات المتعلقة بأداء الفريقين لإلتزاماتهم.</t>
  </si>
  <si>
    <t>26.2 إذا كان المستأجر او الكفيل بموجب هذا العقد أكثر من شخص واحد فيعتبرون متكافلين ومتضامنين في تنفيذ جميع أحكامه والتزاماته، وأن أي تبليغ لأحدهما يعتبر بمثابة التبليغ لهم جميعا كما أن كل منهم يعتبر أيضا ملزما ومسؤولا بالقيام بكافة وكامل الالتزامات التي عليه وعلى الآخرين معه في هذا العقد باعتبارهم الفريق المستأجر او الكفيل وكشخص واحد ويعتبرون مسؤولون بالتكافل والتضامن عن جميع مسؤوليات المستأجر في هذا العقد وما يترتب عليه من الالتزامات وذلك خلال مدة هذا العقد وأية مدة أخرى يتجدد إليها.</t>
  </si>
  <si>
    <t>26.7 من المتفق عليه بين الاطراف انه وبعد التوقيع على هذا العقد فان أية تفاهمات أو إتفاقات خارجة عن سياق هذا العقد تكون غير نافذة، ولهذا الغرض فإن من المتفق عليه بين الطرفين أنه لا توجد أي تفاهمات أو إتفاقات بين الأطراف لها أفضلية على هذا العقد.</t>
  </si>
  <si>
    <t>26.8 ما لم يرد في هذا العقد خلاف ذلك، فأينما ورد كلمة البنود، فان المقصود منها البنود التي وردت في هذا العقد، وأن أي إشارة للملاحق أو المرفقات، تعني حكما الملاحق والمرفقات التابعة لهذا العقد.</t>
  </si>
  <si>
    <t>26.11 الكلمات الدالة على حالة المفرد تشمل صيغة الجمع والعكس صحيح.</t>
  </si>
  <si>
    <t>26.15 من المتفق عليه بين الفريقين ان قيمة الدفعات الشهرية الموضحه في الجدول ادناه تم احتسابها بناء على ضريبة القيمة المضافه والتي تحدد حسب قوانين دائرة الضريبة الفلسطينية وفي حال حدوث أي تتغير على قيمة الضريبة فانه يحق لشركة الاجارة في تعديل الدفعات النهائية في أي وقت من تاريخ العقد.</t>
  </si>
  <si>
    <t>الملحق 3</t>
  </si>
  <si>
    <t>إتفاقية التسليم والقبول</t>
  </si>
  <si>
    <t>الخاص بعقد المذكور في البند رقم 1.1 وتاريخة المبين 1.2 في الجدول اعلاة و المشار إليه لاحقا بـ ("العقد")</t>
  </si>
  <si>
    <t>أُبرمت إتفاقية التسليم والقبول المشار إليها لاحقا بـ ("الاتفاقية") في هذا اليوم المشار الية في البند 1.3 في الجدول اعلاه مابين الفريق الأول والثاني والثالث ومعلوماتهم المبينة ادناه:</t>
  </si>
  <si>
    <t>(3) الفريق الثالث- المورد</t>
  </si>
  <si>
    <t>(ب) يكون للمصطلحات المعرفة في عقد التأجير وعقد التوريد والشراء نفس المعاني عند إستخدامها في سياق هذه الإتفاقية إلا إذا تم النص صراحة على غير ذلك في هذه الإتفاقية.</t>
  </si>
  <si>
    <t>وعليه، يوافق الأطراف ويقروا بما يلي:</t>
  </si>
  <si>
    <t>عقد وكالة تقديم الخدمة</t>
  </si>
  <si>
    <t>بين كل من:</t>
  </si>
  <si>
    <t>الفريق الأول: شركة الإجارة الفلسطينية والمسجلة تحت الرقم  (562528679)، وعنوانها لغايات التبليغ المصايف الإرسال/ رام الله ، دولة فلسطين</t>
  </si>
  <si>
    <t>لغايات هذا العقد يشار الى كل من الفريق الاول والفريق الثاني مجتمعين بـ "الفريقين".</t>
  </si>
  <si>
    <t>"الخدمات": تلك الخدمات المتعلقة باجراء اعمال الصيانة الرئيسة للعين المؤجرة، والتامين عليها  واصلاحها  ودفع كافة الرسوم والضرائب المتعلقة بها والناشئة عن ملكية المؤجر لها وذلك بالنيابة عن المؤجر، وتلك الخدمات /اعمال الوكالة التي سيقدمها الوكيل وفقاً لشروط واحكام هذا العقد.</t>
  </si>
  <si>
    <t xml:space="preserve">"نفقات تقديم الخدمة":المصاريف الفعلية التي يتكبدها الوكيل بالنيابة عن المؤجر خلال مدة تقديمه للخدمات والناشئة عن تقديم هذه الخدمات حصرا والتي يكون المؤجر ملزما بدفعها للوكيل بناء على شروط هذا العقد. </t>
  </si>
  <si>
    <t>3. حقوق الوكيل</t>
  </si>
  <si>
    <t>4. مهام وواجبات والتزامات الوكيل</t>
  </si>
  <si>
    <t xml:space="preserve">وافق الوكيل بموجب هذا العقد على القيام بالاعمال والخدمات المبينة ادناه طوال مدة التاجير باعتباره وكيلا ونائبا عن المؤجر ذلك وفقا للشروط والاحكام الآتية: </t>
  </si>
  <si>
    <t>4.1. خدمات الصيانة</t>
  </si>
  <si>
    <t>4.2. خدمات التأمين</t>
  </si>
  <si>
    <t>5.2 الفواتير</t>
  </si>
  <si>
    <t xml:space="preserve">6. الاخلال </t>
  </si>
  <si>
    <t>6.1 حالات الاخلال</t>
  </si>
  <si>
    <t xml:space="preserve">1- من المتفق عليه بين فريقي هذا العقد بان الوكيل يعتبر مخلا باحكام هذا العقد في حال توفر اي او كل من الحالات الاتية: </t>
  </si>
  <si>
    <t xml:space="preserve">( أ ) ان يقوم باتخاذ كافة الاجراءات القانونية التي يكفلها له القانون وهذا العقد، والرجوع بالتعويض عن الضرر على الوكيل.    </t>
  </si>
  <si>
    <t>6.2 حقوق المؤجر:</t>
  </si>
  <si>
    <t>7. التعويض</t>
  </si>
  <si>
    <t>7.1 التعويض والمصاريف</t>
  </si>
  <si>
    <t xml:space="preserve">يلتزم الوكيل ويتعهد بتعويض المؤجر عن كافة المسؤوليات والنفقات والمصاريف التي قد يتكبدها والتي قد تنشـأ عن اية ادعاءات و/او طلبات و/او مطالبات/ دعاوى/ اجراءات / اضرار / خسائر/ مصاريف/ نفقات (والمشار اليها هنا بـ "الخسائر") والناشئة عن اي دعاوى تقام من المؤجر او  ضده والناشئة عن هذا العقد او اي من وثائق/مستندات أخرى تابعة له وثائق الاجارة   (بما في ذلك اي خسائر او دعاوى تقام من المؤجر او ضده بسبب الهلاك الكلي للعين المؤجرة) والناشئة عن فعل  الوكيل او تقصيره  او اخلاله بالتزاماته الناشئة عن هذا العقد والتي من ضمنها وليس على سبيل الحصر اخلال الوكيل باجراء اعمال الصيانة الرئيسيةاو اخلاله بواحب التأمين على العين المؤجرة و/او قيام الوكيل باي فعل /تصرف  من شأنه ان  يؤدي الى الغاء بوليصة/ بوالص التأمين او الى زيادة تكلفة بوالص التأمين، او اي تصرف مشابه مثل اخلال الوكيل بتوفير او تجديد بوالص التأمين بما يضمن استمرار سريان هذه البوالص وفقا لاحكام هذا العقد. </t>
  </si>
  <si>
    <t>8. الاحالة/التنازل والتحويل</t>
  </si>
  <si>
    <t>9. شروط واحكام عامة</t>
  </si>
  <si>
    <t xml:space="preserve">1. لا يعتد باي تعديل يجرى على أي من احكام هذا العقد ولا يعتبر نافذا ما لم يكن مقرونا بتوقيع كلا الفريقين بما يفيد موافقتهما الخطية على هذا التعديل. </t>
  </si>
  <si>
    <t>5. الافصاح عن المعلومات</t>
  </si>
  <si>
    <t xml:space="preserve">5.1 يوافق الوكيل بموجب هذا العقد على قيام المؤجر بالافصاح عن بعض او كل المعلومات الخاصة بالوكيل بموجب هذا العقد و/او بأي وثيقة اجارة اخرى وفقا لما يراه المؤجر مناسبا  للغير / للمحال له او لاي طرف الثالث محتمل أو لأي شخص آخر من الممكن ان يدخل بعلاقة تعاقدية ذات صلة بهذه الاتفاقية مع المؤجر. </t>
  </si>
  <si>
    <t xml:space="preserve">5.2 يوافق الوكيل على قيام المؤجر أو اي من موظفيه او مساهميه او عملائه او وكلائه بالافصاح عن بعض او كل المعلومات المتعلقة به وذلك للجهات الاتية: </t>
  </si>
  <si>
    <t xml:space="preserve">5.3 كما يوافق الوكيل بموجب هذا العقد على ما يلي : </t>
  </si>
  <si>
    <t>6. الاخطارات</t>
  </si>
  <si>
    <t>6.1 ان اية اخطارات او مراسلات/خطابات تتم وفقاَ لهذا العقد يجب ان تكون خطية ما لم يتم الاتفاق على غير ذلك من قبل الفريقين، وعلى ان يتم ارسالها الى العناوين المحددة  لكل من الفريقين والموضحة في هذا العقد أو تلك العناوين التي يحددها الفريقين من وقت لآخر على ان كل من الفريقين ملزما بابلاغ الفريق الاخر عن عنوانه الجديد خلال اسبوع من تغييره وبخلاف ذلك فان التبليغ على العنوان القديم يعتبر قد تم بشكل اصولي. كما انه من الممكن ان يتم تسليم الاخطارات او المراسلات باليد او عن طريق الفاكس وتكون مرفقة  باقرار بالاستلام او من خلال البريد المسجل او البريد السريع.6.2 عند ارسال أي اخطار او استدعاء او طلب او غيرها من وسائل الاتصال عبر التيليكس او الفاكس، فانه يجب تبعا لذلك ارسال  نسخة اصلية عنها للمرسل اليه مصحوبة باقرار بالاستلام او من خلال البريد.6.3 من المفهوم لفريقي هذا العقد بان  جميع الاتصالات والاخطارات والوثائق التي تتم او  تنقل من قبل الاطراف لبعضهم بعضا وفق هذا العقد يمكن ان تكون  باللغة العربية او الانجليزية.</t>
  </si>
  <si>
    <t>7. القانون المطبق والصلاحية القضائية</t>
  </si>
  <si>
    <t>7.1 من المتفق عليه بين الفريقين بان تفسير هذا العقد او اي من عقود/ وثائق شركة اجارة التي تم التوقيع عليها بالاستناد الى هذا العقد بالاضافة الى تنفيذها او تطبيقها او صلاحيتها تكون خاضعة للقوانين  سارية المفعول في فلسطين وبما لا يخالف مبادئ الشريعة.</t>
  </si>
  <si>
    <t>8. لا يوجد في هذا العقد ما من شأنه ان يحد من حق المؤجر باتخاذ أي اجراء قانوني ضد الوكيل و/او ممتلكاته الموجودة في فلسطين أو ضمن حدود اي صلاحية قضائية اخرى خارج فلسطين.</t>
  </si>
  <si>
    <t xml:space="preserve">10. تم تحرير هذا العقد باللغة العربية. </t>
  </si>
  <si>
    <t xml:space="preserve">التعهد بالشراء </t>
  </si>
  <si>
    <t>من:</t>
  </si>
  <si>
    <t xml:space="preserve"> الفريق الثاني والمشار الية بالواعد بالإستئجار</t>
  </si>
  <si>
    <t xml:space="preserve">التعهد بالشراء  </t>
  </si>
  <si>
    <t>(أ) قيمة بدل الإيجار القائم غير المسدد؛ بالإضافة إلى</t>
  </si>
  <si>
    <t>(ب) أن يدفع مبلغ الإنهاء كاملاً للمؤجر لغايات قبولها في ملكيته.</t>
  </si>
  <si>
    <t>6. للغاية المبينة اعلاه فإن المستأجر يلتزم بموجب هذا السند ويتعهد بأن يقوم وعلى حسابه الخاص بإتخاذ كافة الإجرءات اللازمة لتسجيل حقوق ملكية العين المؤجرة وعقد التوريد والشراء لدى الدوائر الرسمية لإسمه كنتيجة لنقل العين المؤجرة من عهدة المؤجر إلى المستأجر حسب عقد التوريد.</t>
  </si>
  <si>
    <t>7. يقر ويصرح المستأجر بموجب هذا السند بأن قيامه بشراء العين المؤجرة قد تم بناء على إرادته الحرة الخالية من أية عيوب ووفقاً للمواصفات المتفق عليها خطياً بين المؤجر والمستأجر وأن قراره بشراء العين المؤجرة لم يكن بالاستناد إلى اي تصريحات أو ضمانات أو مواصفات صادرة عن المؤجر سواء صراحةً أو ضمنياً.</t>
  </si>
  <si>
    <t>8. يتم قراءة هذا السند وعقد التأجير باعتبارهما وحدة واحدة، ولهذه الغاية تعتبر أحكام عقد التأجير جزءاً من هذا التعهد بالشراء، وكما لو كانت بنود عقد التأجير مذكورة صراحة في هذا التعهد بالشراء.</t>
  </si>
  <si>
    <t xml:space="preserve">9. تم تحرير وتوقيع هذا السند / التعهد بالشراء باللغة العربية، وقد تم  تحرير وتوقيع هذا السند /  التعهد على نسختين (2) أصليتين، واحتفظ كل طرف بنسخة أصلية عنه. </t>
  </si>
  <si>
    <t xml:space="preserve">سند اقرار </t>
  </si>
  <si>
    <t>لما كان من شان العقود المذكورة اعلاه ان ترتب في ذمة المقر التزاما ماليا بدفع مبالغ مالية و/او دفعات تاجيرية و/او تعويضات و/او رسوم و/او مصاريف و/او نفقات تجاه شركة الاجارة الفلسطينية المستحقة و/او التي قد يستحق فانني ولهذه الغاية اتعهد والتزام بسداد هذه المبالغ /الدفعات / واي لتعويضات مستحقة و/اوالتي قد تستحق بذمتي تجاه الشركة المذكورة وفقا للعقود المبين اعلاه ووفقا لجدول السداد الملحق بها.</t>
  </si>
  <si>
    <t>كتاب تعهد</t>
  </si>
  <si>
    <t>بسم الله الرحمن الرحيم</t>
  </si>
  <si>
    <t>الكفلاء بالتضامن والتكافل (إن وجد)</t>
  </si>
  <si>
    <t>عقد التوريد والشراء</t>
  </si>
  <si>
    <t>1. موضوع العقد</t>
  </si>
  <si>
    <t>2. تسليم العين</t>
  </si>
  <si>
    <t>1- للغاية المبينة يعتبر قبولاً من المستأجر للعين موضوع هذا العقد في الأحوال التالية:</t>
  </si>
  <si>
    <t>2- بالرغم مما تقدم أعلاه فإنه من المفهوم للمورد بأنه يجوز للمستأجر إذا قبل العين وفقا للفقرتين (ب) و(ج) من الفقرة (1) من هذا البند، مطالبة المورد بالتعويض عن الخسائر التي تنجم عن عدم مطابقة العين لإتفاقية التوريد.</t>
  </si>
  <si>
    <t xml:space="preserve">وللغاية المبينة فان توقيع إتفاقية التسليم والقبول من قبل المستأجر يعتبر إقراراً منه على مطابقة  العين  للمتطلبات والشروط والمواصفات المذكورة في هذا العقد وملاحقه التابع له وبأنها خالية من العيوب الظاهرة التي من الممكن أن تظهر عند التسليم والمعاينة على النحو المبين، على أنه وفي حال وجود أية عيوب وقام المستأجر بالتبليغ عنها أثناء الإستلام وفقاً لما جاء أعلاه،  ففي هذه الحالة يكون من حق المستأجر الرجوع على المورد ومطالبته بكافة المبالغ /الإدعاءات / الدعاوى /المطالبات/التعويضات بخصوص هذه العيوب. </t>
  </si>
  <si>
    <t>2.7 من المتفق عليه بين فريقي هذا العقد بأن المورد ملزم وبمجرد حلول أجل تسليم العين المتفق عليها في هذا العقد للمستأجر بنقل ملكية العين موضوع هذا العقد لإسم المشتري/ الفريق الثاني لدى الدوائر والجهات الرسمية المختصة وذلك بعد توقيع إتفاقية التسليم والقبول وذلك تلافياً لأية إشكاليات قد تحدث مستقبلاً بخصوص مواصفات العين المتفق عليها، وأن من المتفق عليه والملزم للفريق الأول / المورد انه لا يحق له بأي حال من الأحوال نقل ملكية العين للمستأجر حيث من المفهوم للفريق الأول أنه لن يكون للمستأجر أي حق من حقوق الملكية على العين موضوع هذا العقد.</t>
  </si>
  <si>
    <t>2.8 من المتفق عليه بين الفريقين أنه من لحظة تسلم المستأجر للعين المؤجرة بموجب إتفاقية التسليم والقبول أو من لحظة تسليم العين فعلياً فإن المستأجر يكون مسؤولا عن كافة المخاطر المتعلقة بالعين.</t>
  </si>
  <si>
    <t>2.9 يلتزم المورد/الفريق الأول ويتعهد بأن يقوم فور تسليم العين للمستأجر بتزويد الأخير مباشرة بالوثائق والمستندات المتعلقة بالعين،  وعلى أن تكون جميعها  باللغة العربية أو الانجليزية أو كلاهما،  وهذه الوثائق على النحو الاتي:  دليل الإستخدام؛ كتيب الخدمة؛ شهادة الضمان/الكفالة؛  بالإضافة إلى ما تقدم أعلاه فإن المورد يكون ملزماً عند توقيع هذا العقد بتزود المشتري بما يلي:</t>
  </si>
  <si>
    <t xml:space="preserve">2.11. من المفهوم للمورد/ الفريق الأول بأنه وفي حال كانت العين المشتراة بموجب هذا العقد والمنوي تأجيرها  مركبة للنقل أو سيارة، فإن تسجيل تلك العين بإسم المشتري يجب أن يتم من قبل المورد وبالطريقة المحددة في هذا العقد و/أو أي عقود أخرى تابعة لهذا العقد. </t>
  </si>
  <si>
    <t>2.12 من المتفق عليه أن من حق المشتري أن يطلب من المورد تزويده بنسخة عن عقد التوريد والشراء المبرم بين المورد ومستورد العين وغيرها من الوثائق الأخرى المتعلقة بالعين موضوع هذا العقد، ويكون المورد ملزماً بتزويد الفريق الثاني/ المشتري بالوثائق المطلوبة والمذكورة أعلاه خلال خمسة (5) أيام عمل كحد اقصى من تاريخ طلب المشتري له بذلك، وفي جميع الأحوال وفي حال حدوث أي من الأمور التالية:</t>
  </si>
  <si>
    <t xml:space="preserve"> 2.13 في حال تحقق أي من الحالات المبينة أعلاه فإن من حق المشتري إتخاذ الإجراءات الآتية:  </t>
  </si>
  <si>
    <t>2.13.1. أن يطالب بتخفيض منطقي في سعر الشراء. 2.13.2. أن يرفض تنفيذ هذا العقد او التزاماته الناشئة عنه وفسخ هذا العقد فوراً ودون الحاجة إلى إشعار أو إنذار أو اللجوء للقضاء مع حقه بالرجوع على المورد بالتعويض عن العطل والضرر الذي لحق به نتيجة ذلك وإسترداد أي مبالغ مدفوعة للفريق الاول.</t>
  </si>
  <si>
    <t xml:space="preserve">3. السعر وتسوية الحسابات  </t>
  </si>
  <si>
    <t xml:space="preserve">شيك بنكي مسحوب / حوالة لحساب الشركة البائعة (الفريق الأول/ البائع )او اي طريقة دفع يتفق عليها الطرفين. </t>
  </si>
  <si>
    <t>على أنه وكشرط مسبق لحصول المورد على الدفعات المذكورة أعلاه فإنه يلتزم بتزويد المشتري/ الفريق الثاني بفاتورة ضريبية معدة حسب الأصول ومختومة من ضريبة القيمة المضافة وشهادة خصم مصدر عن كل دفعة.</t>
  </si>
  <si>
    <t>3.2. من المفهوم للفريقين بأن الدفعات المذكورة أعلاه سوف تكون بعملة الدولار الأمريكي.3.3. يدفع  المشتري للمورد كامل سعر الشراء في حال تحقق ما يلي:</t>
  </si>
  <si>
    <t>(1) تقديم الفاتورة النهائية؛(2) نقل ملكية العين وتسجيلها بإسم المشتري لدى الدوائر والجهات الرسمية حسب الأصول والقانون؛(3) تسليم جميع الوثائق المتعلقة بالعين موضوع هذا العقد من قبل المورد إلى المشتري.</t>
  </si>
  <si>
    <t>4. ضمانات المورد</t>
  </si>
  <si>
    <t>4.1. يضمن المورد للمشتري ويتعهد بتسليم العين موضوع هذا العقد بتاريخ التسليم المتفق عليه بهذا العقد وفقاً لما جاء في الفقرة 2.1 (المتعلقة بـ "تاريخ التسليم") ووفقا للمواصفات والشروط المتفق عليها في الجدول رقم 1-المواصفات الكمية والنوعية للعين من هذا العقد وبما يحقق الغاية من شراء العين، ويمكن المشتري من إستخدام/ الإنتفاع بها للغاية المرجوة منها والتي تستخدم عادةً لأجلها.</t>
  </si>
  <si>
    <t>4.2 حيث أن العين تتمتع بكفالة صيانة من الشركة المصنعة، فإن من المتفق عليه بين الفريقين أن تبدأ مدة الكفالة على العين وتستمر وفقا للشروط المحددة من قبل الجهة المصنعة /المنتج، والمبينة تفصيلاً  ضمن كتيب الخدمة والمشار إليه في البند 2.9 أعلاه، والتي تمثل جزء لا يتجزأ من عقد التوريد والشراء، وخلال هذه المدة يجب أن تتوافق إستخدمات العين مع شروط الكفالة، وبالرغم مما تقدم أعلاه فإنه من المفهوم لأطراف هذا العقد بأن فترة الكفالة المشار إليها أعلاه تبدأ إعتباراً من تاريخ تسليم العين  للمستأجر.</t>
  </si>
  <si>
    <t xml:space="preserve">4.3 يقر المورد/ الفريق الأول بموجب هذا العقد بحق المستأجر بما يلي: </t>
  </si>
  <si>
    <t>4.5 من المفهوم للمورد بأنه وفي حال لحق بالعين المؤجرة أي ضرر دون خطأ من قبل المؤجر أو المستأجر قبل تسليم العين للمستأجر، فإنه يجوز للمستأجر قبول العين مع حقه بالتعويض المستحق نتيجة النقص في قيمة العين وذلك من المورد.</t>
  </si>
  <si>
    <t>5.2. في جميع الأحوال فإن من المتفق عليه بين الفريقين أن المشتري لن يكون مسؤولاً بأي حال من الأحوال في مواجهة المستأجر عن تنفيذ أو عدم تنفيذ المورد لإلتزاماته المحددة بموجب هذا العقد أو في حال قام المورد بتنفيذها بشكل ناقص أو معيب.</t>
  </si>
  <si>
    <t xml:space="preserve">5.3 من المفهوم للمورد أنه في حال إخلال المورد بأحكام البند 1.3 من هذا العقد والذي من شأنه أن يتسبب بإمكانية إثارة أدعاءات ودعاوى قضائية ضد المشتري (المؤجر)، فيتوجب على المورد أن يتخذ جميع الإجراءات الكفيلة بتسوية هذه الإدعاءات،  وفي جميع الأحوال فإن المورد يكون ملزماً بتعويض المستأجر و/أو المشتري عن جميع المصاريف والنفقات الناشئة عن تلك الدعاوى. </t>
  </si>
  <si>
    <t>6.1. يحق للمورد انهاء العقد في حال:</t>
  </si>
  <si>
    <t>6.1.1. تأخير المشتري عن دفع مبلغ الشراء لأكثر من شهرين خلافاً لما هو متفق عليه في شروط هذا العقد ، أو 6.1.2.  إرتكاب المشتري لإخلال جوهري بالإلتزامات المترتبة عليه بموجب هذا العقد.  وكل ذلك شريطة إشعار المشتري خطياً بإخلاله ومنحه مهلة أسبوع على الأقل لتصويب هذا الخلل وعدم قيامه بإصلاح هذا الإخلال رغم ذلك.</t>
  </si>
  <si>
    <t>6.2. يحق للمشتري أن يفسخ هذا العقد بموجب إشعار خطي للمورد في حال تحقق أي أو كل من الحالات التالية:</t>
  </si>
  <si>
    <t>6.2.1. اذا كانت العين غير مطابقة للشروط والمواصفات المتفق عليها في هذا العقد أو أي من ملاحقة /مرفقاته، و/ أو  6.2.2. إذا تأخر المورد أو أبدى رغبته بتأخير تسليم العين عن تاريخ التسليم المتفق عليه والمحدد في هذا العقد. 6.2.3. إذا تكرر إخلال المورد بإلتزاماته المحددة والمتفق عليها بموجب هذا العقد، و/أو 6.2.4. في حال وقوع أي من الحالات المنصوص عليها في البند 2.10 من هذا العقد ، و/أو 6.2.5. في حالة الإخلال بشروط هذا العقد المتعلقة بالكمية والنوع والشروط والمواصفات المتعلقة بمعايير المواصفات والجودة المحددة بموجب القوانين والتشريعات النافذة  في  فلسطين، و/ أو 6.2.6. في حالة عدم تمكن المورد من توفير الوثائق المشار إليها  في البند 2.9 من هذا العقد، 6.2.7. في حال تحقق أي من الحالات المنصوص عليها في القوانين والتشريعات سارية المفعول في فلسطين،</t>
  </si>
  <si>
    <t>6.3. من المتفق عليه بين أطراف هذا العقد بأنه و في حال تعذر على المورد تنفيذ هذا العقد فانه يكون ملزماً في هذه الحالة بإعادة كافة المبالغ المقبوضة / ثمن الشراء المدفوع إلى المشتري خلال خمسة (5) أيام عمل كحد أقصى من تاريخ إستلام إخطار بذلك، ويجب على المشتري/ المستأجر بالمقابل أن يقوم بإعادة العين للمورد في حال تم التسليم.</t>
  </si>
  <si>
    <t>6.4. في حال تم فسخ هذا العقد وفقاً لكل أو أي حالة من الحالات المذكورة في البند (6.2) من هذا العقد، فإن المشتري يحتفظ بحقه بالرجوع على المورد بالتعويض عن أية أضرار لحقت به نتيجة لذلك الإنهاء/ الفسخ ويكون المورد في هذه الحالة ملزما باعادة اية مبالغ مقبوضة على سبيل السلف.</t>
  </si>
  <si>
    <t xml:space="preserve">7. حالات القوة القاهرة </t>
  </si>
  <si>
    <t>7.1. يبرئ كل من الفريقين الآخر من المسؤولية القانونية التي قد تنشأ بسبب التنفيذ الجزئي أو عدم التنفيذ و/أو الأداء غير المتفق مع الشروط الواردة في هذا العقد في حال كان ذلك ناجماً عن قوة قاهرة حالت دون ذلك التنفيذ أو أدت إلى تنفيذه بشكل جزئي. 7.2. في حالات القوة القاهرة فإن الطرف الذي تعذر عليه تنفيذ إلتزاماته وفقا لشروط هذا العقد بسبب القوة القاهرة، يكون ملزماً بإخطار الطرف الآخر بذلك فوراً، على أنه وفي حال تعذر عليه الإبلاغ فوراً فيكون ملزماً بإبلاغ الطرف الآخر خلال مدة لا تتجاوز (5) أيام عمل بوقوع تلك القوة القاهرة وبالمدة المتوقعة لإستمرارها، على انه وفي حال تأخر/  إمتنع عن إخطار الطرف الآخر على النحو المبين، فانه يكون ملزماً بالتعويض عن الضرر الناتج عن  تلك الظروف القاهرة. ولهذا الغرض فإنه من المفهوم لكلا الفريقين بأن الإخطار الموجه بموجب أحكام هذه الفقرة يجب أن يحتوي في مضمونه على المعلومات المحددة  لطبيعة القوة القاهرة والمدة المتوقعة لإستمرارها (أو حدوثها).7.3. لغايات اعمال أحكام هذا البند فان على الجهة التي تعرضت للقوة القاهرة أن تثبت وقوع تلك الظروف القاهرة التي حالت دون تنفيذ إلتزاماتها أو تنفيذها بشكل ناقص /معيب ومدتها من خلال إبراز الوثائق والمستندات التي تثبت ذلك.7.4. في حال استمرت القوة القاهرة لأكثر من (3) ثلاثة أشهر متتالية، فانه يكون من حق كل فريق أن ينهي/ يفسخ هذا العقد بموجب إشعار خطي من قبله موجه للفريق الآخر ويكون نافذاً إعتباراً من تاريخ إستلام الإخطار وتبلغ الطرف الآخر به وتوقيعه على ما يفيد الاستلام حسب الأصول. 7.5. عند زوال ظرف القوة القاهرة، على الطرف المتضرر أن يقوم فوراً وخلال 5 أيام عمل كحد أقصى، بإخطار الأطراف الأخرى خطيا بزوال القوة القاهرة</t>
  </si>
  <si>
    <t>8.1. تسري على هذا العقد الأحكام والقوانين المعمول بها في فلسطين وبما لا يتعارض مع مبادئ وأحكام الشريعة الاسلامية.8.2. يلتزم فريقي هذا العقد ببذل قصارى جهدهم من أجل تسوية أية نزاعات أو خلافات تنشأ بموجب هذا العقد من خلال التفاوض.8.3. في حالة استحالة حل أية نزاعات بالتفاوض خلال مدة (اسبوع واحد)  كحد اقصى من تاريخ وقوع الخلاف/ النزاع، فانه يحال إلى التحكيم ويكون خاضعا للقوانين وللتشريعات السارية والمطبقة في فلسطين وتكون لغة التحكيم اللغة العربية على أنه في حال لم يتم تسوية النزاع بالتحكيم خلال ثلاثة أشهر من وقوعه فيكون لكل طرف الحق باللجوء للقضاء لحل هذا النزاع / الخلاف.</t>
  </si>
  <si>
    <t>9. الإخطارات  والمراسلات</t>
  </si>
  <si>
    <t>9.1. إن جميع المراسلات والإخطارات والفواتير والكمبيالات والمطالبات المقدمة بموجب هذا العقد أو الناشئة عنه يجب أن تتم بشكل خطي ويتم  تسليمها إلى الممثلين القانونيين عن الطرف المخطر إليه بالبريد المسجل مع علم الوصول، وذلك على عناوين الأطراف المبينة في البند (11) من هذا العقد.9.2.  يلتزم كل من فريقي هذا العقد بإخطار الطرف الآخر بأي تغيير يحصل على عنوانه المبين في هذه الإتفاقية أو المعتمد لغايات المراسلات والتبليغ أو غيرها من المتطلبات المذكورة  في البند (11) من هذا  العقد ذلك خلال (5) خمسة أيام عمل كحد أقصى من تاريخ ذلك التغيير. على أنه وإذا لم يقم أحد الأطراف بإبلاغ الطرف الآخر بتغيير عنوانه فإن أي مراسلات أو تباليغ أو إخطارات أو فواتير أو مطالبات يتم ارسالها على عنوانه المحدد في البند (11) من هذا العقد يعتبر قد تم بصورة أصولية، ودون أي مسؤولية على الطرف المُخطر في هذه الحالة.</t>
  </si>
  <si>
    <t>10. مسؤوليات الفريق الثاني في مواجهة الفريق الاول في حالات التعثر</t>
  </si>
  <si>
    <t xml:space="preserve">من المتفق عليه بين الفريقين بانه وفي حال تعثر المستأجر عن تسديد التزاماته تجاه شركة الاجارة الفلسطينية لمدة اقصاها 90 يوم، فان الفريق الاول يكون مسؤول بمواجهة الفريق الثاثي عن تسديد الالتزامات المترتبة بذمة المستأجر تجاه الفريق الثاني ذلك بما لا يقل عن رصيد الدين القائم بقيود وسجلات شركة الاجارة الفلسطينية على ان يقوم الفريق الاول بسداد هذه المديونية للفريق الثاني على ثلاث دفعات شهرية متساوية ومتتالية بعد اشعار الفريق الثاني خطيا بتعثر المستاجر عن السداد. وان يقوم الفريق الثاني باصدار فاتورة ضريبية بالمبلغ المسدد.  </t>
  </si>
  <si>
    <t xml:space="preserve">11. شروط وأحكام ختامية  </t>
  </si>
  <si>
    <t>11.1 تسري أحكام هذا العقد من تاريخ توقيعه، ومن المفهوم لكلا الفريقين بأن هذا العقد يبقى سارياً حتى وفاء أطرافه بكافة إلتزاماتهم المستحقة في ذمتهم أو حتى إنتهاء/ إنهاء العقد وفقاً للبنود الواردة فيه.11.2 من المتفق عليه بين أطراف هذا العقد بأنه لا يحق للمورد أن يتنازل أو يعهد بكل أو جزء من إلتزاماته المشار إليها في هذا العقد إلى أي جهة /طرف آخر إلا بعد الحصول على موافقة الفريق الثاني/المشتري الخطية المسبقة على ذلك، وفي هذه الحالة يكون المورد مسؤولا بالتكافل والتضامن مع الجهة التي تم التحويل لها عن التنفيذ والوفاء بكافة الشروط والإلتزامات والضمانات المتفق عليها مع المشتري في هذا العقد والمواعيد المحددة فيه.11.3. من المفهوم لأطراف هذا العقد بان إجراء أي  تعديل أو اضافة على هذا العقد لا يعتبر نافذاً ما لم يتم باتفاق خطي بين الطرفين.11.4. من المفهوم لفريقي هذا العقد بأنه وفي حال أصبح أي بند/ شرط من شروط هذا العقد في أي وقت من الأوقات باطلاً فإن الشرط وحده يبطل وتبقى أحكام هذا العقد نافذة، كما انه في حال احتوى العقد الحالي على مسائل لم يتم تنظيمها، فإن هذا لن يؤثر على صحة وسريان مفعول البنود الأخرى في العقد.</t>
  </si>
  <si>
    <t>11.5. إن بنود وأحكام هذا العقد وأية معلومات وصلت لأحد الأطراف من خلال الطرف الآخر و/أو أية معلومات وصلت لأحد الأطراف من الغير /  أي طرف ثالث والمتعلقة بهذا العقد أو يترتب عليه و/أو ينشئ عنه تعتبر سرية، وتعامل معاملة الأسرار التجارية ولا يجوز لأي من الطرفين الإفصاح عنها ما لم يتم الحصول على موافقة الطرف الآخر الخطية والمسبقة. 11.6.  لقد تم تحرير هذا العقد  من نسختين اصليتين، وتم تسليم كل طرف نسخة أصلية  عنه  وتم تحرير نسخة إضافية ونسخة أخرى  لغايات  تسجيلها  لدى الجهات الرقابية ذات العلاقة " في حال تطلب الامر ذلك".11.7 يقر كل من الطرفين أنه قد اطلع على هذا العقد قبل توقيعه وأنه قد تفهم جميع أحكامه وشروطه، وأنه قد تم توقيع هذا العقد من قبل المورد والمشتري أو ممثليهما القانونيين بإرادة حرة خالية من العيوب، وقد استلم كل طرف نسخة واحدة من هذا العقد.</t>
  </si>
  <si>
    <t>المواصفات الكمية والنوعية للعين</t>
  </si>
  <si>
    <t>الجدول رقم (1)</t>
  </si>
  <si>
    <t xml:space="preserve">3. وصف العين:    </t>
  </si>
  <si>
    <t>نموذج رقم: (L-4)</t>
  </si>
  <si>
    <t>طلب تسجيل بيانات عقد تأجير تمويلي</t>
  </si>
  <si>
    <t xml:space="preserve">السادة هيئة سوق رأس المال:  </t>
  </si>
  <si>
    <t xml:space="preserve">نرجو قيد بيانات عقد التأجير التمويلي المبينة أدناه في سجل عقود التأجير التمويلي:   </t>
  </si>
  <si>
    <t>ثانياً: المستأجر</t>
  </si>
  <si>
    <t xml:space="preserve">(أ) الشخص المعنوي: </t>
  </si>
  <si>
    <t>اسم الشركة:</t>
  </si>
  <si>
    <t xml:space="preserve">رقم تسجيل الشركة:        </t>
  </si>
  <si>
    <t xml:space="preserve">تلفون رقم: </t>
  </si>
  <si>
    <t>(ب) الشخص الطبيعي:</t>
  </si>
  <si>
    <t>الاسم الرباعي:</t>
  </si>
  <si>
    <t xml:space="preserve">رقم الهوية: </t>
  </si>
  <si>
    <t>تلفون رقم:</t>
  </si>
  <si>
    <t>ثالثا: المورد</t>
  </si>
  <si>
    <t xml:space="preserve">اسم الشركة: </t>
  </si>
  <si>
    <t>رقم تسجيل الشركة:</t>
  </si>
  <si>
    <t>نوعها:</t>
  </si>
  <si>
    <t xml:space="preserve">الاسم الرباعي:  </t>
  </si>
  <si>
    <t>تاريخ الولادة:</t>
  </si>
  <si>
    <t xml:space="preserve">خامساً: قيمة العقد وكيفية دفع الأقساط وأية التزامات مالية اخرى </t>
  </si>
  <si>
    <t>تاريخ توقيع العقد:</t>
  </si>
  <si>
    <t>مدة العقد:</t>
  </si>
  <si>
    <t>قيمة العقد:</t>
  </si>
  <si>
    <t>الدفعة المقدمة( إن وجدت):</t>
  </si>
  <si>
    <t>قيمة خيار الشراء (ان وجد)</t>
  </si>
  <si>
    <t>تحديد فترة اشعار المؤجر بإعمال خيار الشراء</t>
  </si>
  <si>
    <t xml:space="preserve">سادسا : المعلومات الواجب توافرها في العقد وفقاً لأحكام القرار رقم (1) لسنة 2016 </t>
  </si>
  <si>
    <t xml:space="preserve">(أ) التزامات اطراف العقد     </t>
  </si>
  <si>
    <t>التزامات المستأجر : المادة 15 والماده 17 من عقد التأجير المرفق</t>
  </si>
  <si>
    <t>التزامات المؤجر : الماده 14 من عقد التأجير المرفق</t>
  </si>
  <si>
    <t xml:space="preserve"> (ب) توضيح آلية التسليم والقبول</t>
  </si>
  <si>
    <t>الماده 7 من عقد التأجير المرفق</t>
  </si>
  <si>
    <t>(ت) ضمان الحيازة دون تعرض الغير</t>
  </si>
  <si>
    <t>المادة 14 من عقد التأجير المرفق</t>
  </si>
  <si>
    <t xml:space="preserve">(ث) الآثار المترتبة على انتهاء العقد         </t>
  </si>
  <si>
    <t>المادة 9 من عقد التأجير المرفق</t>
  </si>
  <si>
    <t>ج) حالات انهاء العقد والآثار المترتبة عليها</t>
  </si>
  <si>
    <t>المادة 22 من عقد التأجير المرفق</t>
  </si>
  <si>
    <t>ح) تنظيم أحكام التأمين الشامل على العين المؤجرة</t>
  </si>
  <si>
    <t>الماده 21 من عقد التأجير المرفق</t>
  </si>
  <si>
    <t>توقيع المستأجر</t>
  </si>
  <si>
    <t>.....................................</t>
  </si>
  <si>
    <t xml:space="preserve">ثامناً :المرفقات  </t>
  </si>
  <si>
    <t>نسخة عن عقد التأجير التمويلي بين طرفي العقد.</t>
  </si>
  <si>
    <t>صورة عن شهادة تسجيل الشركة إذا كان المستأجر شخص معنوي.</t>
  </si>
  <si>
    <t>صورة عن هوية المستأجر.</t>
  </si>
  <si>
    <t>سند اقرار وابراء ذمة</t>
  </si>
  <si>
    <t>المشار اليه فيما يلي بـ " المقر"، وحيث انني كنت قد تعاقدت مع السادة شركة الاجارة الفلسطينية المسجلة تحت الرقم 562528679 لدى مراقب الشركات في وزارة الاقتصاد الوطني والمشار اليها فيما يلي بـ " الشركة"، لغايات استئجار وشراء العين الواردة اوصافها ادناه:</t>
  </si>
  <si>
    <t>1. اقر بانه وعلى اثر التعثر الحاصل من طرفنا مقدمة هذا السند لم يعد لي اي علاقة تعاقدية مع الشركة المذكورة اعلاه بخصوص العين الموصوفة اعلاه و/او اية حقوق متعلقة بالعين الموصوفة اعتبارا من تاريخ توقيع الإقرار المذكور.</t>
  </si>
  <si>
    <t xml:space="preserve">2. انني اقر بان للشركة المذكورة (شركة الإجارة الفلسطينية) الحق بالتصرف في العين الموصوفة اعلاه كافة التصرفات القانونية بما فيها حق بيع العين المشار اليها لمن تريد وبالسعر الذي ترغب وبالطريقة التي تتناسب مع حالة العين القائمة والتنازل عنها لمصلحة الغير لدى كافة الدوائر الرسمية المختصة. </t>
  </si>
  <si>
    <t>3. انني اقر بانه لم يعد لي اية حقوق في العين الموصوفة اعلاه بالاستناد الى عقد الوعد و/او عقد الاجارة المنتهية بالتمليك و/او اية عقود و/او ملاحق ملحقة بالعقود الاصلية المذكورة.</t>
  </si>
  <si>
    <t>4. انني ابرئ ذمة الشركة من اية مطالبات / تعويضات / ادعاءات / دعاوى الان و/او في المستقبل تتعلق بالتعويض عن العين و/او قيمة العين.</t>
  </si>
  <si>
    <t>5. ان ما جاء في سند الاقرار هذا ملزم لي ولورثتي من بعدي وانه نهائي وقطعي غير قابل للرجوع عنه او الطعن فيه باي طريق من طرق الطعن.</t>
  </si>
  <si>
    <t xml:space="preserve">6. انني اسقط حقي بالادعاء بيمين كذب الاقرار و/او الدفع بعدم القبول و/او الوفاء و/او التمسك باي دفع شكلي او موضوعي حول صحة ما جاء في هذا السند. </t>
  </si>
  <si>
    <t>المقر بما جاء فيه ...........................</t>
  </si>
  <si>
    <t>سند أقرار وتفويض</t>
  </si>
  <si>
    <t>2- انني بموجب هذا السند ابرئ ذمة الشركة ابراء عاما شاملا تاما من اي مسؤوليه تجاهي او تجاه اي شخص نتيجة قيامها بتعبئة تاريخ الاستحقاق وفقا لما جاء اعلاه لتسديد ما است</t>
  </si>
  <si>
    <t>3- حق و/او قد يستحق بذمتي تجاه شركة شركة الاجارة الفلسطينية</t>
  </si>
  <si>
    <t>4- كما انني اقر بانني املك الحق والصلاحية في التوقيع على سند الاقرار والتفويض هذا وانني اتحمل كامل المسؤولية في حال ثبت خلاف ذلك تجاه البنك و/او الغير.</t>
  </si>
  <si>
    <t>5- وانني اسقط حقي بالادعاء بيمين كذب الاقرار و / او الدفع بعدم القبول و / او الوفاء و/او التمسك باي دفع شكلي او موضوعي حول ما جاء في هذا السند او اية امور متعلقه به و / او ناشئه عنه.</t>
  </si>
  <si>
    <t xml:space="preserve">مُلخص عقد تأجير تمويلي </t>
  </si>
  <si>
    <t>الرقم المتسلسل للعقد:-</t>
  </si>
  <si>
    <t>بيانات العقد</t>
  </si>
  <si>
    <t>نوع العقد:</t>
  </si>
  <si>
    <t xml:space="preserve">مدة العقد: </t>
  </si>
  <si>
    <t>مرة واحدة</t>
  </si>
  <si>
    <t>أطراف العقد</t>
  </si>
  <si>
    <t>المؤجر</t>
  </si>
  <si>
    <t>الإسم:</t>
  </si>
  <si>
    <t>المشتغل المرخص/رقم هوية</t>
  </si>
  <si>
    <t>العنوان</t>
  </si>
  <si>
    <t>شركة الاجارة الفلسطينية</t>
  </si>
  <si>
    <t>المصايف الإرسال/ رام الله</t>
  </si>
  <si>
    <t>المستأجر</t>
  </si>
  <si>
    <t>بيانات العين المؤجرة</t>
  </si>
  <si>
    <t>رقم الشاصي:</t>
  </si>
  <si>
    <t>نوع المركبة</t>
  </si>
  <si>
    <t>تاريخ الإنتاج</t>
  </si>
  <si>
    <t>التوقيع</t>
  </si>
  <si>
    <t>الخاتم الرسمي</t>
  </si>
  <si>
    <t>إعتماد ومصادقة هيئة سوق رأس المال</t>
  </si>
  <si>
    <t>نموذج تدقيق التوقيع</t>
  </si>
  <si>
    <t>الكفلاء</t>
  </si>
  <si>
    <t>طلب اجارة للافراد / شركات</t>
  </si>
  <si>
    <t>إجارة منتهية بالتمليك</t>
  </si>
  <si>
    <t>هل يوجد مصادر دخل أخرى :_______________________</t>
  </si>
  <si>
    <t>مصادر الدخل الأخرى (ان وجد) _______________________________________</t>
  </si>
  <si>
    <t>الغرض من الاجارة : ___________________________________________</t>
  </si>
  <si>
    <t>• أُؤكد انني تفهمت كافة الشروط العامة والسياسات الخاصة بشركتكم.</t>
  </si>
  <si>
    <t xml:space="preserve">الاسم: ____________________     </t>
  </si>
  <si>
    <t>التوقيع : ______________________</t>
  </si>
  <si>
    <t>تفويض بالإستعلام والتصريح</t>
  </si>
  <si>
    <t xml:space="preserve">رقم وثيقة إثبات الشخصية:.................... </t>
  </si>
  <si>
    <t>التوقيع:................</t>
  </si>
  <si>
    <t>التاريخ:...../...../...........</t>
  </si>
  <si>
    <t>تدقيق التواقيع:...............</t>
  </si>
  <si>
    <t xml:space="preserve">ثانيا: موضوع هذا العقد </t>
  </si>
  <si>
    <t>مواصفات اخرى:</t>
  </si>
  <si>
    <t>11. قيمة الدفعة الشهرية بالكلمات والارقام شاملة (ض.ق.م): حسب جدول الدفعات (ملحق رقم 1)</t>
  </si>
  <si>
    <t>رابعا: شروط عقد وعد بالإستئجار مقترن بوعد الشراء والتأجير</t>
  </si>
  <si>
    <t>ثانيا: الشروط الواجب تواجدها مسبقا:</t>
  </si>
  <si>
    <t xml:space="preserve">(أ) لغايات عقد التأجيرهذا فقد قام الطرفان بالتوقيع على عقد وعد الاستئجار المنتهي بالتمليك المقترن بوعد الشراء والتأجير.  </t>
  </si>
  <si>
    <t>يكون للمصطلحات المعاني التالية ما لم يدل السياق على خلاف ذلك:</t>
  </si>
  <si>
    <t>بدل الإيجار القائم/ غير المسدد: الدفعة التاجيرية وفقا لما هو مبين في البند 5، مطروحاً منها المبلغ الإجمالي لدفعات الإيجار الثابتة التي  تم دفعها فعليا وفق هذا العقد.</t>
  </si>
  <si>
    <t>1- من المتفق عليه بين الطرفين على أنه يحق للمستأجر عند انتهاء هذا العقد وشريطة أن يكون قد أوفى للمؤجر جميع حقوقه الناشئة عن هذا العقد أن يقوم بإحالة حقوقه في العين المؤجرة لطرف ثالث بموجب طلب خطي من المستأجر، وبعد أن يقوم بدفع قيمة الدفعة النهائية وفقاً لهذا العقد، بالإضافة إلى ما ذكر فإنه من المتفق عليه أن من الممكن نقل الملكية للمستأجر أو لطرف ثالث خلال مدة التأجير من خلال دفع مبلغ الإنهاء للمؤجر على ان يتم تنظيم عقد بيع منظم حسب الأصول  وتسجيل العين المؤجرة بإسم المشتري،  ويكون المشتري ملزماً بدفع كافة المصاريف والنفقات المتعلقة بنقل الملكية إن وجدت.</t>
  </si>
  <si>
    <t>حامل هوية رقم</t>
  </si>
  <si>
    <t>تاريخ طلب الإجارة</t>
  </si>
  <si>
    <t>السيد/ السيدة</t>
  </si>
  <si>
    <t>رقم طلب الاجارة</t>
  </si>
  <si>
    <t xml:space="preserve">ورقم هاتفه </t>
  </si>
  <si>
    <t>ورقم هاتفه</t>
  </si>
  <si>
    <t>وعنوانة لغايات التبليغ</t>
  </si>
  <si>
    <t>رقم الشاصي</t>
  </si>
  <si>
    <t>بتاريخ</t>
  </si>
  <si>
    <t>والصادرة في</t>
  </si>
  <si>
    <t>وصف العين المراد استئجارها</t>
  </si>
  <si>
    <t>اية تفاصيل اخرى</t>
  </si>
  <si>
    <t>تصنيف الزبون</t>
  </si>
  <si>
    <t>1. تعتبر مقدمة هذا العقد وملاحقه ومرفقاته جزء لايتجزأ منه كما يعتبر هذا العقد جزء لا يتجزأ من عقد التاجير المنتهي بالتمليك المبين اعلاه والمشار اليه فيما بعد بـ "العقد الاصلي /عقد التاجير".</t>
  </si>
  <si>
    <t>2. التعريفات:</t>
  </si>
  <si>
    <t>من المتفق عليه بين الفريقين بان هذه الوكالة بدون اجر وان الموكل غير ملزم بدفع اية اجرة للوكيل مقابل قيامه بالخدمات محل  هذا العقد باي حال من الاحوال وفي اي وقت من الاوقات.</t>
  </si>
  <si>
    <t>(ز) ان يقوم بتامين العين المؤجرة وحفظ  بوالص التأمين عندما يطلب او يسمح له المؤجر بذلك.</t>
  </si>
  <si>
    <t>4.2.1 يتوجب على الوكيل او المؤجر (وفق الإتفاق) وطوال مدة التاجير ان يقوم بتجديد بوالص التامين الشامل بما يضمن استمرارها سارية المفعول وحفظها من الضياع او التلف وبحيث تكون التغطية التامينية تعادل قيمة العين المؤجرة، وعلى ان يكون المؤجر المستفيد الوحيد من بوالص التأمين المذكورة، ،  ولهذا الغرض فان من المتفق عليه ان يتم تامين العين المؤجرة لدى شركة التكافل الاسلامية للتأمين،  او لدى اي جهة اخرى يحددها المؤجر بارادته المنفردة. 4.2.2  يتعهد الوكيل او المؤجر (وفق الإتفاق) ان يقوم بالتعاقد مع شركة التامين  لتوفير بوليصة تامين شامل للعين المؤجرة  وبدفع اقساط بوالص التأمين مباشرة لشركة التأمين.4.2.3  يجب على الوكيل وفي اي وقت من الاوقات الامتناع عن التصرف بشكل يمكن ان يتسبب بالغاء  بوليصة التامين او يؤدي الى الاجحاف بحقوق المؤجر او زيادة  تكلفة بوليصة التامين .4.2.4  يتعهد الوكيل باخطار المؤجر خلال مدة يومين كحد اقصى، من وقوع أي حادث او ظرف من شأنه ان يؤدي الى نشوء مطالبة / ادعاء ناشئ عن بوليصة التامين، او اي واقعة من شانها ان تؤثر على حقوق المؤجر بالمطالبة بالتعويض عن اي ضرر بموجب بوليصة تامين العين المؤجرة.4.2.5 يقوم الوكيل بالنيابة عن المؤجر بتسديد الرسوم والضرائب التي من الممكن ان تفرض على المؤجر بصفته مالكاً للعين المؤجرة.</t>
  </si>
  <si>
    <t xml:space="preserve">4.3 خدمات الترخيص ودفع الضرائب والرسوم </t>
  </si>
  <si>
    <t xml:space="preserve">4.4 الضرر الذي يلحق بالعين المؤجرة </t>
  </si>
  <si>
    <t>5. واجبات الموكل</t>
  </si>
  <si>
    <t>كشرط مسبق لقيام المؤجر بتسديد نفقات الخدمة التي يؤديها الوكيل، فان الوكيل يلتزم بتزويد المؤجر /الفريق الاول بفواتير ضريبية اصولية قبل (7) سبعة ايام عمل على الاقل من بدء أية فترة تأجيرية، ويستثنى من هذا الحكم  النفقات الناشئة عن فترة  التأجير الاخيرة، حيث يتوجب على الوكيل تزويد المؤجر باية فواتير متعلقة بها فور دفع تلك المصاريف.</t>
  </si>
  <si>
    <t>5.3 اقرارات وتعهدات الوكيل</t>
  </si>
  <si>
    <t>نظم هذا العقد على نسختين (2) اصليتين، وباللغة العربية واحتفظ كل فريق من الفريقين بنسخة اصلية عنها.</t>
  </si>
  <si>
    <t>علما بان هذا العقد يبقى نافذا الى حين: (1) انتهاء مدة التأجير أو (2) انتهاء عقد التأجير (3) انهاؤه من قبل المؤجر (4) انتهاءه بحكم القانون.</t>
  </si>
  <si>
    <t>حرر هذا العقد فيما بين:</t>
  </si>
  <si>
    <t>إتفق طرفي هذا العقد على الشروط والأحكام التالية:</t>
  </si>
  <si>
    <t>1.1 يلتزم الفريق الأول ويتعهد بموجب هذا العقد،  بتوريد و بيع العين موضوع هذا العقد ونقل ملكيتها لصالح المشتري/الفريق الثاني وفقاً لشروط وأحكام هذا العقد، مقابل إلتزام الأخير بدفع الثمن المتفق عليه في هذا العقد للمورد / الفريق الأول. 1.2 من المتفق عليه بين الفريقين بأن الغاية من شراء العين موضوع هذا العقد هي أن يقوم الفريق الثاني بتأجيرها إلى المستأجر المذكور في بند رقم ((2) من الجدول رقم 1-المواصفات الكمية والنوعية للعين) المشار إليه لاحقا بـ " المستأجر " تأجيراً منتهياً بالتمليك و/أو لأي شخص آخر يراه الفريق الثاني مناسباً ووفقا للشروط والأحكام المتفق عليها بموجب عقد وعد الإستئجار المقترن بوعد الشراء والتأجير الملحق بهذا العقد وعلى أن يقوم الفريق الثاني بتأجيرها للمستأجر ببدل الأجرة والشروط التي يراها مناسبة. 1.3 من المفهوم للفريق الأول بأنه يجب أن تكون حالة العين موضوع هذا العقد والموصوفة بملحق هذا العقد  وبعقد وعد الإستئجار المقترن بوعد الشراء والتأجير وقت توقيع العقد، بحالة ممتازة / جديدة وغير مرهونة أو محجوزة أو غير مثقلة بأي حقوق إمتياز أو تملك أو غيرها من الحقوق المترتبة للغير/ لأي طرف ثالث، أو غيرها من الموانع أو أي حقوق ضمان تحول دون تنفيذ أو توقيع هذه الإتفاقية. 1.4 كما يقر الفريق الأول /المورد بأنه يضمن للفريق الثاني توريد/ شحن العين موضوع هذا العقد إلى فلسطين بصورة قانونية، وبقيامه بسداد جميع الرسوم والنفقات الناشئة عن الشحن والتوريد بما فيها الرسوم الجمركية وغيرها من الرسوم والنفقات والواجبة الدفع وفقاً للقوانين والتشريعات النافذة في دولة فلسطين ووفقاً للقوانين والتشريعات المعمول بها في الدولة المنتجة للعين، وأي بلد تم نقل العين موضوع هذا العقد من خلالها إلى فلسطين، بالإضافة إلى الحصول على كافة الرخص/ التراخيص/ الأذونات الضرورية واللازمة وغيرها من الأذونات/التراخيص المتعلقة بالتوريد والشحن والتفريغ وفقاً للقوانين والتشريعات النافذة في فلسطين، ولقوانين/ تشريعات الدولة المنتجة للعين موضوع هذا العقد وغيرها من البلدان التي تم نقل العين من خلالها إلى  فلسطين.1.5   للغاية المبينة أعلاه فإن من المتفق عليه بين الفريقين أن وصف العين محل هذا العقد وبيان الكميات والنوعية والمعدات الكاملة وحالة العين وارد في الجدول رقم 1-المواصفات الكمية والنوعية للعين (بند رقم 3) من هذا العقد والذي يعتبر جزءاً لا يتجزأ منه.</t>
  </si>
  <si>
    <t xml:space="preserve">نوعها: </t>
  </si>
  <si>
    <t>تصنيف المورد</t>
  </si>
  <si>
    <t>اسم المورد حال انه فرد</t>
  </si>
  <si>
    <t xml:space="preserve">اسم المورد حال انها شركة </t>
  </si>
  <si>
    <t>تاريخ التسجيل</t>
  </si>
  <si>
    <t>مساهمة خصوصية</t>
  </si>
  <si>
    <t>نوع العين المؤجرة:</t>
  </si>
  <si>
    <t xml:space="preserve">الرقم المتسلسل للعين المؤجرة: </t>
  </si>
  <si>
    <t>تاريخ أول دفعة</t>
  </si>
  <si>
    <t>إنتاج المركبة</t>
  </si>
  <si>
    <t>إسم المؤجر: شركة الاجارة الفلسطينية</t>
  </si>
  <si>
    <t>جهه العمل: ___________________________</t>
  </si>
  <si>
    <t>المسمى الوظيفي: ____________________________</t>
  </si>
  <si>
    <t>دوام كامل / جزئي :____________________________________</t>
  </si>
  <si>
    <t>الراتب الشهري: ________________________</t>
  </si>
  <si>
    <t>عملة الراتب: ________________________</t>
  </si>
  <si>
    <t xml:space="preserve">2. \أو باي طريقة دفع اخرى يتفق عليها الطرفان قبل توقيع عقد التأجير المشار إليه وعقد التعهد بالشراء وقبل تسجيل العين المؤجرة بإسم الواعد بالشراء والتاجير وباسم الواعد بالإستئجار في القيود الفنية على أن تخصم هذه الدفعة من المبلغ الاجمالي عند توقيع عقد التأجير. </t>
  </si>
  <si>
    <t>3. الإفصاح عن أية معلومات متعلقة بالواعد بالإستئجار و/أو  بعقد التأجير و/أو بإلتزامات الواعد بالإستئجار بموجب هذا العقد إلى مكتب الإستعلام الائتماني؛ و/أو اي جهة رسمية ذات علاقة. او تزويدها بأي معلومات متعلقة بتنفيذ الأطراف لإلتزاماتهم.</t>
  </si>
  <si>
    <t xml:space="preserve">4. يقر المستأجر والفريق الثالث بعلمهم أنه وبناء على هذا العقد فإن الواعد بالشراء والتأجير سوف يقوم  بشراء وتملك العين المتفق عليها بموجب هذا العقد لغايات تأجيرها تأجيرا منتهياً بالتمليك للمستأجر / الواعد بالإستئجار وفقا لأحكام عقد التأجير المتفق عليها لاحقاً. </t>
  </si>
  <si>
    <t>5. للغرض المبين أعلاه يتعهد الواعد بالإستئجار والفريق الثالث هنا وبشكل ملزم لا رجعة فيه بالتوقيع على عقد التأجير- عقد الاجارة المنتهية بالتمليك -  عند  شراء العين المؤجرة من قبل المؤجر / الواعد بالشراء والتأجير مباشرة. ومن المفهوم للمستأجر / الواعد بالإستئجار (والفريق الثالث)  بانهما ملزمين بإتمام التعاقد مع المؤجر  وأن امتناعهما عن توقيع عقد التأجير و/أو إستلام العين أو عدولهما  عما جاء في هذا العقد لأي سبب من الاسباب يعتبر إخلالاً جوهرياً بإلتزامه بموجب عقد وعد الإستئجار المقترن بوعد الشراء والتأجير هذا،  مما يعطي للفريق الأول الحق بانهاء هذا العقد فورا   وبيع هذه العين وإستيفاء كامل حقه من ثمنها ( بما في ذلك الدفعة المقدمة ) دون الحاجة إلى إشعار أو إنذار أو اللجوء للقضاء والرجوع عليه بالتعويض عن الضرر.</t>
  </si>
  <si>
    <t>6. على الرغم مما تقدم أعلاه فإنه من المفهوم للواعد بالإستئجار والفريق الثالث بأنه وفي حال كان إخلاله بالتزامه وتراجعه عن إتمام الصفقة موضوع هذا العقد،  قد حدث قبل أن يتملك المؤجر العين ولكن بعد إنفاقه مصروفات ونفقات مختلفة بغية تملكه لها، فإن على الواعد بالإستئجار والفريق الثالث أن يعوض المؤجر/ الواعد بالشراء والتأجير عن هذه المصروفات والنفقات والتكاليف الفعلية والخسائر والاضرار (ويستثنى منها تكلفة التمويل والربح الفائت) والتي يتكبدها المؤجر، مع حق المؤجر باستيفاءها من الدفعة المقدمة ويعتبر مفوضا من قبل الواعد بالإستئجار والفريق الثالث "ان وجد" للقيام بذلك دون الرجوع إليه ودون الإخلال بحق المؤجر بالرجوع على المستأجر و/او  الفريق الثالث  بأي مبالغ إضافية في حال لم تكن الدفعة المقدمة كافية لتعويض المؤجر عن خسائره.</t>
  </si>
  <si>
    <t>7. من المفهوم للواعد بالإستئجار /المستأجر وللفريق الثالث بأنه وفي حال تعذر على المؤجر شراء العين موضوع عقد وعد الإستئجار المقترن بوعد الشراء والتأجير هذا لأي سبب من الأسباب بما فيه تعذر توريدها من المورد و/ أو إرتفاع سعر العين عن السعر المتفق عليه و/ أو إرتفاع نقفات التوريد و/ أو تعذر التوريد لأسباب فنية فيكون من حق المؤجر فسخ هذا العقد بعد إشعار الفريق الثاني /الواعد بالإستئجار ودون الحاجة للحصول على موافقة الواعد بالإستئجار ودون الحاجة لقرار قضائي، ولا يترتب على الفريق الأول / الواعد بالشراء والتأجير أية تبعات مالية و/أو قانونية عن ذلك.</t>
  </si>
  <si>
    <t xml:space="preserve">8. إن عقد وعد الإستئجار المقترن بوعد الشراء والتأجير هذا قطعي ولا رجعة عنه و يظل ساريا وملزما للواعد بالإستئجار/ الفريق  الثاني. </t>
  </si>
  <si>
    <t>9. للغاية المبينة أعلاه ومقابل وعد الفريق الثاني للفريق الأول بإستئجار العين موضوع هذا العقد الموصوف في البند رقم 5 فان الفريق الأول يتعهد ويعد الفريق الثاني بشراء وتملك العين موضوع هذا العقد لنفسه أولا وفقا للشروط والمواصفات المتفق عليها في جدول الشروط والمواصفات والكميات المشار اليه اعلاه  وذلك من المورد/البائع المحدد في هذا العقد في البند 6.1 ورقم تسجيلة لدى مراقب الشركات 6.2 (في حال انة شركة ورقم هوية في  حالة انه فرد) و/او ملاحقه ومرفقاته وتأجيرها للفريق الثاني تأجيرا منتهيا بالتمليك وفقا لمدة الإجارة المتفق عليها في هذا العقد وملاحقه ومرفقاته بما فيها عقد التأجير.</t>
  </si>
  <si>
    <t>3.3 تسدد الدفعات التي يدفعها المستأجر بموجب العقد حسب الترتيب التالي:</t>
  </si>
  <si>
    <t>3.5 من المفهوم لأطراف هذا العقد بأن تحديد المسؤولية القانونية التي قد تنشأ بذمة أي منهم في مواجهة الآخر في حال أخل أحدهما بأي من إلتزاماته تجاه الطرف الآخر تكون بالاستناد إلى هذا العقد وإلى شروط وأحكام عقد التأجير وبالإستناد إلى التشريعات والقوانين النافذة في فلسطين.</t>
  </si>
  <si>
    <t>عقد تأجير إجارة منتهية بالتمليك</t>
  </si>
  <si>
    <t>2) أو طلب تمديد عقد التأجير حتى سداد  القيمة الدفعة النهائية؛</t>
  </si>
  <si>
    <t xml:space="preserve">1. إستأجر المستأجر بموجب هذا العقد العين المؤجرة والمبينة مواصفاتها  تفصيلا في الجدول المبين اعلاه . </t>
  </si>
  <si>
    <t xml:space="preserve">2. يقر المستأجر بأنه قد قام بمعاينة العين المؤجرة معاينة نافية للجهالة، وبأنها بحالة جيدة وصالحة للإستعمال، ولهذا الغرض فإن المستأجر يسقط حقه بالرجوع على المؤجر بأية إدعاءات/ دعاوى/ مطالبات تتعلق بالعين المؤجرة، أو حول وجود أي عيوب ظاهرة أوخفية فيها أوتتعلق بجودتها أو بموافقتها للشروط والمواصفات المتفق عليه بين المؤجر والمستأجر. </t>
  </si>
  <si>
    <t xml:space="preserve">16.1 يكفل الفريق الثالث/ الكفيل وبدون مقابل بموجب هذا العقد المستأجر كفالة مطلقة وبحيث يعتبر الكفيل المذكور مسؤولاً بالكامل في مواجهة المؤجر بصورة منفردة وبالتضامن والتكافل مع المستأجر عن تأدية كافة الإلتزامات الواردة في هذا العقد، وذلك وفقا لأحكام وشروط هذا العقد ووفقا لأحكام القانون، بما فيها إلتزام  المستاجر بدفع الدفعات التأجيرية وغيرها من المطالبات /المبالغ /التعويضات التي قد تستحق بذمته تجاه المؤجر و/أو في حال قيام المستأجر بتنفيذ إلتزاماته المتفق عليها في عقد التأجير بشكل ناقص / معيب و/أو وقوع أي من حالات الإخلال /التعثر التي تشكل إخلالا من قبل المستأجر  بأحكام هذا العقد. </t>
  </si>
  <si>
    <t xml:space="preserve">16.2 من المفهوم للمستاجر والكفيل  بأنه لن يكون على المؤجر أي إلتزام بدفع أي أجر أو إلتزام  للكفيل كمقابل للكفالة بأي حال من الأحوال، وفي أي وقت من الأوقات.  </t>
  </si>
  <si>
    <t>16.3 بالاضافة الى ما تقدم اعلاه يقر الكفيل بما يلي:</t>
  </si>
  <si>
    <t xml:space="preserve">16.4 بأنه قد إطلع على كافة الشروط والأحكام المنصوص عليها في هذا العقد وكافة الملاحق التابعة له بما فيها بند الافصاح عن المعلومات ولهذا فانه يوافق على ما جاء فيه ويقر بانه خاضع للاحكام الواردة فيه ويقر بحق الشركة باتخاذ اي اجراء بحقه وفقا لما جاء فيه  كما أطلع على كافة التفاصيل المتعلقة بمديونية المستأجر تجاه المؤجر وأنه على علم ودراية كافية بمدى الإلتزامات والمسؤوليات المترتبة عليه بموجب هذا العقد  ولهذه الغاية يسقط أي حق له بالإعتراض أو إبداء أي دفوع شكلية أو موضوعية حول ما جاء في هذا العقد او اية مستندات وملاحق اخرى ذات علاقة. </t>
  </si>
  <si>
    <t>16.6 من المفهوم للكفيل  بأنه وفي حال قام المستأجر بإحالة إلتزاماته المترتبة عليه بموجب هذا العقد  وملاحقه ومرفقاته إلى الغير/ لطرف ثالث بناء على موافقة المؤجر، فأن الكفيل في هذه الحالة يبقى مسؤولاً بالتكافل والتضامن مع الشخص/الجهة التي تم التحويل لها عن كافة الشروط والإلتزامات والضمانات والمواعيد المترتبة على الشخص المحال له/ الطرف الثالث.</t>
  </si>
  <si>
    <t xml:space="preserve">16.7 بالإضافة إلى ما تقدم أعلاه، إن الكفيل يعتبر مسؤولاً عن تعويض المؤجر عن أية مصاريف تكبدها أو قد يتكبدها في سبيل إستعادة حقوقه التي تم الإخلال بها أو عدم مراعاتها  من قبل المستأجر والحصول على تعويضات عن الأضرار والخسائر الواقعة على المؤجر والناشئة بسبب عدم  تنفيذ المستأجر لإلتزاماته أو تنفيذها بشكل ناقص/ معيب. </t>
  </si>
  <si>
    <t xml:space="preserve">2- في حال حدوث أي  من حالات الاخلال المنصوص عليها اعلاه يكون من حق المؤجر وبعد اشعار الوكيل خطيا، اتخاذ اي او كل من الاجراءت التالية: </t>
  </si>
  <si>
    <t>(أ‌) يقوم المؤجر بشراء العين موضوع هذا العقد بالشروط والمواصفات والكميات المحددة في بند 5 (وصف العين) وجدول الدفعات المبينة في9.1 و9.2  وطريقة السداد هي (شيكات) بالتواريخ المبينة في بند 12.1 و12.2 (ب) تكون عملة العقد هي الدولار الامريكي. (ج) بناء على طلب الواعد بالإستئجار فان البائع/ المورد الذي تم إختياره والموافقة عليه  من قبل الواعد بالإستئجار والمؤجر هو المذكور اسمه في البند رقم 6.1 ورقم تسجيلة مبين في البند 6.2 من الجدول المشار اليه  اعلاه. (د) يتم تسليم العين المؤجرة لغايات تأجيرها للمستأجر خلال المدة المتفق عليها في العقد والمشار اليها في اتفاقية التسليم والقبول (ملحق لعقد التأجير) ؛ (ه) يصبح هذا العقد نافذا من تاريخ إبرامه، ولهذه الغاية فقد إتفق أطراف هذا العقد على أن يبدأ التأجير اعتبارا من تاريخ تسليم العين المؤجرة للواعد بالإستئجار ويبقى التأجير ساريا للمدة المشار إليها في الجدول أعلاه في البند 7 ما لم يتقرر إنهاؤها وفقا للشروط والأحكام الموضحة في العقد. (ز) يتم تسليم العين المؤجرة في مقر المورد أو أي مكان آخر يراه الواعد بالشراء والتأجير مناسبا. ويكون ذلك فور إخطار المورد /البائع أو المؤجر للواعد بالإستئجار بأن العين جاهزة للتسليم والذي يعتبر تاريخ نفاذ وسريان عقد التأجير.</t>
  </si>
  <si>
    <t>كفلاء للفريق الثاني بالتكافل والتضامن فيما بينهم وطالما استمرت العلاقة فيما بين الفريق الأول والثاني ويشار اليهم في الفريق الثالث ويشار إليهم  فيما يلي منفردين بـ (الطرف) أو مجتمعين بـ (الأطراف).</t>
  </si>
  <si>
    <t>1. يتعهد الفريق الثاني والفريق الثالث بموجب هذا العقد بدفع المبلغ المذكور في البند 10 من العقد ( وفقا لعلة العقد المتفق عليها في الجدول اعلاه  ويكون شامل ضريبة القيمة المضافة) للواعد بالشراء والتأجير كدفعة مقدمة على الحساب من قيمة منفعة العين موضوع هذا العقد وذلك بتحويلها للمؤجر إلى الحساب البنكي رقم 1723466 لدى البنك  الاسلامي الفلسطيني.</t>
  </si>
  <si>
    <t>3.7 يقر الفريق الثاني والفريق الثالث بأن كل منهما قد قد قرأ  واطلع على الشروط والاحكام العامة لعقد وعد بالإستئجار المقترن بوعد الشراء والتأجير وتفهم مضمونها وانه قد وقع عليها اقرار منه بالتقيد والالتزام بما جاء فيها.</t>
  </si>
  <si>
    <t>5. من المفهوم للواعد بالإستئجار (الفريق الثاني/المستأجر والفريق الثالث) بأنه وفي حال وجود تعارض بين أي شروط و احكام واردة في عقد التأجير والاحكام الواردة في هذا العقد فان الأولوية بالتطبيق يكون لاحكام عقد التأجير، ودون الاخلال بحقوق المؤجر المنصوص عليها في عقد وعد الإستئجار المقترن بوعد الشراء والتأجير هذا.</t>
  </si>
  <si>
    <t xml:space="preserve">3.4 غايات استعمال العين: اتفق الفريقان على استعمال العين وفقا للغايات المشار اليها في البند 8 من الجدول اعلاه  وان لا يتم استعمالها لاية غاية اخرى خلافا لما تم الاتفاق عليه مع المؤجر </t>
  </si>
  <si>
    <r>
      <t>الفريق الأول: شركة الإجارة الفلسطينية</t>
    </r>
    <r>
      <rPr>
        <sz val="14"/>
        <color theme="1"/>
        <rFont val="Times New Roman"/>
        <family val="1"/>
      </rPr>
      <t xml:space="preserve"> والمسجلة تحت الرقم (562528679)، وعنوانها لغايات التبليغ شارع المصايف الإرسال/ رام الله، دولة فلسطين  والمشار إليها فيما يلي في هذا العقد بـ (الفريق الأول/ </t>
    </r>
    <r>
      <rPr>
        <b/>
        <sz val="14"/>
        <color theme="1"/>
        <rFont val="Times New Roman"/>
        <family val="1"/>
      </rPr>
      <t>المؤجر/ الواعد باالشراء والتأجير</t>
    </r>
    <r>
      <rPr>
        <sz val="14"/>
        <color theme="1"/>
        <rFont val="Times New Roman"/>
        <family val="1"/>
      </rPr>
      <t xml:space="preserve">). </t>
    </r>
  </si>
  <si>
    <r>
      <t>معلومات</t>
    </r>
    <r>
      <rPr>
        <sz val="14"/>
        <color rgb="FFFFFFFF"/>
        <rFont val="Times New Roman"/>
        <family val="1"/>
      </rPr>
      <t xml:space="preserve"> </t>
    </r>
    <r>
      <rPr>
        <b/>
        <sz val="14"/>
        <color rgb="FFFFFFFF"/>
        <rFont val="Times New Roman"/>
        <family val="1"/>
      </rPr>
      <t>الفريق الثاني والمشار الية بالواعد بالإستئجار</t>
    </r>
  </si>
  <si>
    <r>
      <t>1. </t>
    </r>
    <r>
      <rPr>
        <b/>
        <u/>
        <sz val="14"/>
        <color theme="1"/>
        <rFont val="Times New Roman"/>
        <family val="1"/>
      </rPr>
      <t>شروط العقد:</t>
    </r>
  </si>
  <si>
    <r>
      <t xml:space="preserve">2. </t>
    </r>
    <r>
      <rPr>
        <b/>
        <u/>
        <sz val="14"/>
        <color theme="1"/>
        <rFont val="Times New Roman"/>
        <family val="1"/>
      </rPr>
      <t>اقرارات وتعهدات الواعد بالإستئجار:</t>
    </r>
  </si>
  <si>
    <r>
      <t>بموجب عقد وعد بالإستئجار المقترن بوعد الشراء والتأجير يقر ويوافق ويتعهد ويفوض كل من الفريق الثاني والفريق الثالث (</t>
    </r>
    <r>
      <rPr>
        <u/>
        <sz val="14"/>
        <color theme="1"/>
        <rFont val="Times New Roman"/>
        <family val="1"/>
      </rPr>
      <t>إن انطبق</t>
    </r>
    <r>
      <rPr>
        <sz val="14"/>
        <color theme="1"/>
        <rFont val="Times New Roman"/>
        <family val="1"/>
      </rPr>
      <t>) بما يلي:</t>
    </r>
  </si>
  <si>
    <r>
      <t>3. </t>
    </r>
    <r>
      <rPr>
        <b/>
        <u/>
        <sz val="14"/>
        <color theme="1"/>
        <rFont val="Times New Roman"/>
        <family val="1"/>
      </rPr>
      <t>شروط عقد الايجار:</t>
    </r>
  </si>
  <si>
    <r>
      <t>3.1 </t>
    </r>
    <r>
      <rPr>
        <b/>
        <u/>
        <sz val="14"/>
        <color theme="1"/>
        <rFont val="Times New Roman"/>
        <family val="1"/>
      </rPr>
      <t>دفعات الإيجار</t>
    </r>
  </si>
  <si>
    <r>
      <t>3.2 </t>
    </r>
    <r>
      <rPr>
        <b/>
        <u/>
        <sz val="14"/>
        <color theme="1"/>
        <rFont val="Times New Roman"/>
        <family val="1"/>
      </rPr>
      <t>آلية الدفع</t>
    </r>
  </si>
  <si>
    <r>
      <t xml:space="preserve">3.6 </t>
    </r>
    <r>
      <rPr>
        <b/>
        <u/>
        <sz val="14"/>
        <color theme="1"/>
        <rFont val="Times New Roman"/>
        <family val="1"/>
      </rPr>
      <t xml:space="preserve">احكام عامة وختامية </t>
    </r>
  </si>
  <si>
    <t>(ب) يتم احتساب الدفعة المقدمة عن فترة التأجير المشار إليها في البند 10 وفقا للآلية المعتمدة من قبل شركة الإجارة الفلسطينية.</t>
  </si>
  <si>
    <t>1. يكون للمصطلحات والتعريفات الواردة في هذا العقد نفس المعاني المخصصة لها في عقد التأجير الملحق بهذا العقد.</t>
  </si>
  <si>
    <t>2. تسري أحكام القوانين والتشريعات المعمول بها في مناطق السلطة الوطنية الفلسطينية بما لا يتعارض مع أحكام الشريعة الاسلامية.</t>
  </si>
  <si>
    <t>3. من المتفق عليه بين فرقاء هذا العقد بأنه وفي حال نشوء أي خلاف أو نزاع حول تفسير أو تطبيق بنود وأحكام هذا العقد تكون المحاكم التي يختارها الفريق الأول (الواعد بالشراء والتأجير) بإرادته المنفردة داخل أو خارج فلسطين هي المحاكم المختصة في النظر بالنزاع أو الخلاف.</t>
  </si>
  <si>
    <t>4. تم تحرير عقد وعد الإستئجار المقترن بوعد الشراء والتأجير هذا باللغة العربية وقد تم  تحريره وتوقيعه على نسختين اصليتين، وزود كل طرف بنسخة عنه.</t>
  </si>
  <si>
    <t xml:space="preserve">يتمثل موضوع هذا العقد بتعهد المؤجر/ الواعد بالشراء والتأجير بموجب وعد الاستئجار المقترن بوعد الشراء والتأجير هذا وبموجب طلب الإجارة الموقع من الواعد بالإستئجار بالتاريخ المذكور في البند 4.1 و4.2 اعلاه في هذا العقد بالقيام بشراء وتملك العين المشار إليها في هذا العقد لنفسه </t>
  </si>
  <si>
    <r>
      <t xml:space="preserve">(1) دفعة الإيجار الثابتة والمحددة  قيمتها من قبل المؤجر منفردا على أساس  ما هو منصوص علية في البند 11 من عقد الوعد بالإستئجار لكل دفعة مضروبة بعدد الدفعات. (2) قسط الإيجار المتغير. (3) الدفعة الأضافية. (4) الدفعة النهائية: </t>
    </r>
    <r>
      <rPr>
        <sz val="14"/>
        <color rgb="FF000000"/>
        <rFont val="Times New Roman"/>
        <family val="1"/>
      </rPr>
      <t xml:space="preserve">هي 1 دولار </t>
    </r>
    <r>
      <rPr>
        <sz val="14"/>
        <color theme="1"/>
        <rFont val="Times New Roman"/>
        <family val="1"/>
      </rPr>
      <t>أمريكي (دولار واحد فقط)– والتي يكون الواعد بالإستئجار ملزما  بدفعها في حال ممارسة حقه في الشراء.</t>
    </r>
  </si>
  <si>
    <r>
      <t>حيث</t>
    </r>
    <r>
      <rPr>
        <sz val="14"/>
        <color theme="1"/>
        <rFont val="Times New Roman"/>
        <family val="1"/>
      </rPr>
      <t xml:space="preserve"> أن الفريق الأول شركة تعمل في مجال التأجير والتأجير المنتهي بالتمليك وفقا لأحكام الشريعة الإسلامية الغراء، وحاصلة على التراخيص اللازمة لذلك حسب الاصول والقانون، وحيث  أن الفريق الثاني كان قد عبر للفريق الأول بموجب طلب الإجارة – إجارة منتهية بالتمليك – الملحق بهذا العقد باعتباره جزء لا يتجزأ منه عن رغبته باستئجار العين الموصوفة  في الجدول أدناة  والمشار إليها في البند 5 فيما يلي بـ " بالعين "، وبما</t>
    </r>
    <r>
      <rPr>
        <b/>
        <sz val="14"/>
        <color theme="1"/>
        <rFont val="Times New Roman"/>
        <family val="1"/>
      </rPr>
      <t xml:space="preserve"> </t>
    </r>
    <r>
      <rPr>
        <sz val="14"/>
        <color theme="1"/>
        <rFont val="Times New Roman"/>
        <family val="1"/>
      </rPr>
      <t xml:space="preserve">أن الفريق الأول وبناء على طلب الفريق الثاني قد وعد الأخير أن يقوم بشراء العين  المشار إليها أعلاه  </t>
    </r>
    <r>
      <rPr>
        <b/>
        <sz val="14"/>
        <color theme="1"/>
        <rFont val="Times New Roman"/>
        <family val="1"/>
      </rPr>
      <t xml:space="preserve">وفقا للشروط والاحكام الاتية: </t>
    </r>
  </si>
  <si>
    <t>رقم الهيئة: ___________________________________</t>
  </si>
  <si>
    <t>دفعة الإيجار الثابتة: وتعني جزء من مبلغ التأجير الإجمالي والذي يستحق الدفع من قبل المستأجر عند إستحقاق كل دفعة من دفعات الإيجار (الدفعات التأجيرية) وفقا لجدول الدفعات.</t>
  </si>
  <si>
    <t>الصيانة الرئيسية: جميع عمليات إصلاح الأعطال وأعمال الصيانة الضرورية (ويستثنى منها أعمال الصيانة الإعتيادية) والتي من دونها تكون العين المؤجرة غير صالحة للإستخدام للغاية المحددة لها.</t>
  </si>
  <si>
    <t>دفعة الايجار/الدفعات الايجارية: والمشار لها في العقد بالدفعات التأجيرية أيضا، وتعني الدفعة /الدفعات المستحقة على المستأجر وفقا لهذا العقد، والواجبة الدفع وفقا للشروط والأحكام المنصوص عليها في هذا العقد واي من ملاحقه ومرفقاته.</t>
  </si>
  <si>
    <t>الدفعة النهائية: وتعني السعر أو البدل الذي يدفعه المستأجر عند إنتهاء عقد التأجير بعد الوفاء بجميع إلتزاماته التعاقدية وبدلات الإيجار،  والذي  يجب على المستأجر دفعه للمؤجر لغايات شراء العين المؤجرة.</t>
  </si>
  <si>
    <t>عقد وكالة تقديم الخدمة: يعني عقد الوكالة الموقع بين المؤجر والوكيل والذي بموجبهيتم تقديم خدمات للمؤجر وفقا لاحكام هذا العقد او عقد الوكالة الملحق به باعتباره جزء لا يتجزأ منه.</t>
  </si>
  <si>
    <t>الكفالة: وتعني ضمانة مقدمة من المستأجر، بموجبها يكفل شخص أو اكثر (الكفيل/ الكفلاء) بالتضامن والتكافل مع المستأجر، تنفيذ المستأجر لإلتزاماته الناشئة عن هذا العقد.</t>
  </si>
  <si>
    <t>الخسارة الكلية: وتعني الحادث أو الواقعة الذي ينشأ عنه ضرر أو هلاك العين المؤجرة هلاكاً كلياً إلى حد لا يسمح بإصلاحها أو إعادة إستخدامها وفقا للغاية المحددة في هذا العقد.</t>
  </si>
  <si>
    <t>3.1 تسري أحكام هذا العقد من تاريخ التوقيع عليه ما لم يتم إنهاءه وفقا لشروط الإنهاء الواردة فيه ويبقى هذا العقد نافذاً حتى وفاء كل طرف من الأطراف بجميع الإلتزامات المترتبة في ذمته للطرف الآخر، ولهذه الغاية فإن من المتفق عليه بين أطراف هذا العقد بأن إنهاء/ فسخ هذا العقد لا يلغي ولا يمس بأي حال من الأحوال الشروط الواردة فيه والمتعلقة بالتعويض، وبالالتزامات القائمة في ذمة أحد طرفي هذا العقد للطرف الآخر، والتي يظل كل طرف ملتزماً بها رغم إنهاء/ فسخ هذا العقد.</t>
  </si>
  <si>
    <t>تاريخ الإنتهاء: يعني التاريخ الذي يوافق آخر دفعة إيجار يدفعها المستأجر والمبينة في جدول  الدفعات / الملحق (1).</t>
  </si>
  <si>
    <t>العين المؤجرة: تعني العين المؤجرة محل هذا العقد والتي تشمل أيضا ( جميع قطع الغيار، الإضافات، والأكسسوارات التابعة للعين المؤجرة ) الموصوفة وصفا تاماً في وصف العين المؤجرة المبينة في الجدول المشار اليه اعلاه.</t>
  </si>
  <si>
    <t>7.5. من المفهوم للمستأجر أن توقيع هذا العقد لا ينقل ملكية العين المؤجرة له، حيث تظل مملوكة للمؤجر ولا تنتقل الملكية للمستأجر إلا وفقاً للشروط والإجراءات الواردة في هذا العقد وبعد الوفاء بكافة إلتزاماته تجاه المؤجر.</t>
  </si>
  <si>
    <t>7.6. من المفهوم للمستأجر أن يده على العين المؤجرة موضوع هذا العقد  يد أمانه وأنه يتحمل المسؤولية القانونية عن المحافظة على سلامة العين المؤجرة وتبعة أي مخاطر تتعلق بهلاكها أو بتلفها في حال كان ذلك ناشئا عن تعدٍ أو تقصير من المستأجر أو سوء إستخدامها أو أي مخاطر أخرى من لحظة تسلمه الفعلي أو الحكمي للعين المؤجرة كما أنه يتحمل المسؤولية القانونية والمالية في مواجهة الغير منفرداً عن أية أضرار مادية أو جسدية أو أي ضرر يلحق بممتلكات الغير نتيجة تعد المستأجر أو تقصيره ذلك فور تسلمه العين المؤجرة وسواء كان هذا الضرر قد نشأ أثناء تركيبها أو تخزينها أو صيانتها أو إستعمالها ولا يكون المؤجر ملزما في مواجهة الغير بأي إلتزام أو مسؤولية في هذه الأحوال.</t>
  </si>
  <si>
    <t xml:space="preserve">7.7. عند تسليم العين المؤجرة يجب على المورد، وفق إرادة المؤجر المنفردة، أن يزود المستأجر بالوثائق والمستندات والعناصر التي تخص العين المؤجرة وبخلاف ذلك يحق للمستأجر بعد منح المورد مهلة زمنية لتزويده بها أن يرفض قبول العين المؤجرة بعد الحصول على موافقة المؤجر الخطية على ذلك. </t>
  </si>
  <si>
    <t>تكون العين المؤجرة مملوكة للمؤجر طوال مدة التأجير محل هذا العقد في حين يكون للمستأجر الحق بحيازة وإستخدام العين المؤجرة خلال هذه المدة. وأن أداء المستأجر للدفعات التأجيرية لا يجعله مالكاً للعين المؤجرة وفي جميع الأحوال يتوجب على المستأجر إعلام دائنيه والغير بأن المؤجر هو مالك العين المؤجرة.</t>
  </si>
  <si>
    <t xml:space="preserve">ما لم يكن ذلك ناشئا عن فعل المؤجر او اهماله فان من المتفق عليه بأن المؤجر لن يتحمل أي مسؤولية في مواجهة المستأجر أو أي طرف ثالث والتي قد تنشا عن أي من الحالات المذكورة أدناه: أية أضرار، مهما كان نوعها ودرجتها، والتي قد تنشأ عن إستخدام العين المؤجرة،  بما في ذلك الإصابات الجسدية أو وفاة أي شخص بسبب أو أثناء إستخدام العين المؤجرة؛ و/أو أية أضرار، مهما كان نوعها ودرجتها، قد تلحق بالبيئة،  والناشئة عن إستخدام المستأجر أو طرف ثالث للعين المؤجرة. </t>
  </si>
  <si>
    <t>12.1.1. أن يراقب إستخدام المستأجر للعين المؤجرة وأن  يتأكد أن العين المؤجرة في وضع آمن وبحالة جيدة</t>
  </si>
  <si>
    <t>13. إذا لم يقم المستأجر بدفع المصاريف الواجبة والتكاليف والنفقات والضرائب بما فيه ضريبة الاملاك وأي إلتزام منصوص عليه في القانون، فان من المفهوم والملزم للمستأجر أنه سيكون للمؤجر، وفق إرادته المنفردة، الحق بدفع هذه الدفعات والرجوع بقيمتها على المستأجر. ولهذه الغاية فإن للمؤجر، في هذه الحالة الحق باعتبار ايصالات الدفع بينة  قاطعة غير قابلة للنقض لإثبات قيمة المبالغ التي قام المؤجر بدفعها عن المستأجر، حتى وإن  كانت تلك الوثائق/ الإيصالات  قد حررت بإسم المستأجر.</t>
  </si>
  <si>
    <t>14.3. بمراعاة عقد التوريد والشراء وأحكام هذا العقد وأحكام القانون فإن المستأجر يلتزم بالوفاء بكافة الالتزامات المترتبة على المؤجر في مواجهة المورد والالتزامات المترتبة بذمة المستاجر نتيجة تنفيذه لهذا العقد سواء في مواجهة الفريق الاول او المورد.</t>
  </si>
  <si>
    <t>14.4. من المتفق عليه بين الفريقين أنه لا يحق للمستأجر مطالبة المورد بتوفير شروط وثيقة الضمان ( الكفالة) للعين المؤجرة في حال أخل المستأجر بالشروط والمتطلبات الواردة في وثيقة الضمان (الكفالة).</t>
  </si>
  <si>
    <t>14.6 في حال إخلال المورد بتنفيذ إلتزاماته في  مواجهة المستأجر، يقوم المؤجر بتزويد المستأجر بكافة المستندات والمعلومات، واتخاذ أي إجراءات أخرى لتمكين المستأجر من الرجوع على المورد.</t>
  </si>
  <si>
    <t>15.2.1. تقرير سنوي مدقق ومتضمن للميزانية العمومية في موعد أقصاه 120 يوم من تاريخ إنتهاء السنة المالية (ان إنطبق)؛</t>
  </si>
  <si>
    <t xml:space="preserve">15.1.3. على المستأجر خلال مدة التأجير أن يعلم المؤجر بأية تغيير على موقع العين المؤجرة، بإستثناء ذلك التغيير الذي يحدث في سياق عمل العين المؤجرة المعتاد، وفي جميع الأحوال فإن المستأجر يكون ملزماً بإعلام المؤجر فورا بموقع العين المؤجرة الجديد. </t>
  </si>
  <si>
    <t>15.1.2. أن يتحمل مسؤولية جميع المصاريف والخسارة في قيمة العين المؤجرة المستحقة الدفع نتيجة للتشغيل والإستعمال المعتاد للعين المؤجرة.</t>
  </si>
  <si>
    <t>15.3. من الواجب على المستأجر أن يقوم بإستخدام العين المؤجرة وبذل العناية اللازمة للمحافظة عليها، ولهذه الغاية فإن المستأجر ملزم بمراعاة متطلبات وتوصيات الجهة المصنعة للعين المؤجرة، وأن يقوم بكافة الإجراءات اللازمة  لضمان بقاء العين المؤجرة بحالة تشغيلية جيدة (ويستثنى من ذلك التلف بسبب الإستخدام الطبيعي) كما يكون ملزماً بحماية العين المؤجرة من إدعاءات الغير، وأن يقوم بأخذ جميع الإجراءات اللازمة لضمان عدم مصادرة العين المؤجرة و/ أوعدم إعتبارها جزءاً من تفليسته، وبشكل عام الحفاظ على العين المؤجرة بحالة جيدة.</t>
  </si>
  <si>
    <t>16.5 يقر الكفيل بعدم وجود أية ظروف من شأنها أن تؤدي إلى بطلان هذا العقد وفقا للتشريعات والقوانين السارية في فلسطين او من شانه الانتقاص من حقوق المؤجر.</t>
  </si>
  <si>
    <t>17.2 أما بخصوص الصيانة الرئيسية فيجب إجراؤها من قبل المؤجر (او من يوكله وفي هذه  الحالة تعد من مسؤولية الفريق الأول) ومن خلال المورد او اي جهة اخرى يحددها المؤجر وفق الشروط والأحكام التي يحددها المؤجر.</t>
  </si>
  <si>
    <t>19.1 من المتفق عليه بين الفريقين أنه في حال هلاك العين المؤجرة كلياً خلال مدة التأجير، فإن المستأجر يكون ملزماً بإخطار المؤجر بذلك فوراً من تاريخ حصول الهلاك وفي هذه الحالة تكون كافة التعويضات عن جميع الأضرار حقاً للمؤجر وفقا للبند 19.5 من هذا العقد، (بما في ذلك كافة التعويضات الناشئة عن  بوالص التأمين).</t>
  </si>
  <si>
    <t>19.2 على المستأجر، عند هلاك العين المؤجرة جزئياً، أن يقوم بإخطار المؤجر بذلك فوراً مبينا الأضرار التي ألمت بالعين المؤجرة وذلك من خلال تقرير فني صادر عن جهة فنية معتمدة من قبل المؤجر، وعلى أن يشمل التقرير تقديراً لحجم الخسارة أو الضرر الذي أصاب العين المؤجرة، وتكاليف إعادة العين المؤجرة إلى حالتها الأصلية، وفي حال لم يتم تغطية كافة الأضرار من قبل شركة التأمين لأي سبب من الأسباب، و/ أو إذا كان الهلاك الجزئي قد وقع بسبب خطأ المستأجر أو تابعيه  أو بسبب إهماله أو سوء تصرفه، أو تقصيره بأي من إلتزاماته المتعلقة بصيانة وتأمين العين المؤجرة وفق هذا العقد وملاحقه وكافة الوثائق التابعة له، أو في حال إخلاله بشروط بوالص التأمين فيكون المستأجر ملزماً بدفع كافة تكاليف الإصلاح وكافة الأضرار بما فيه النقص في قيمة العين المؤجرة وذلك للمؤجر.</t>
  </si>
  <si>
    <t>19.5.1 ينتهي التأجير بموجب هذا العقد ؛ و</t>
  </si>
  <si>
    <t xml:space="preserve">21.3 تكون نفقات التأمين عن مدة التأجير على نفقة  المستأجر. </t>
  </si>
  <si>
    <t>21.8 من المفهوم للمتسأجر بأن المؤجر هو صاحب الحق الأساسي بالمطالبة بالتعويض عن الأضرار المادية المتعلقة بالعين المؤمنة وأنه لا يحق للمستأجر مطالبة شركة التأمين و/ أو الرجوع عليها بالتعويض عن الأضرار المذكورة إلا بموافقة المؤجر الخطية  وبأنه لا يحق له بأي حال من الأحوال التوصل إلى أية تسوية أو مصالحة مع شركة التأمين بخصوص أي  مطالبة أو إدعاء فيما يتعلق بالتعويض عن الأضرار المادية للعين المؤجرة  دون الحصول على موافقة المؤجر الخطية المسبقة وتحت طائلة المسؤولية القانونية والمالية، وفي جميع الأحوال يجب أن يتم دفع مبلغ التعويض للمؤجر مباشرة بإعتبار مبلغ التعويض حق للمؤجر، ولهذا الغرض فان المستأجر يتعهد ويلتزم بصورة نهائية وقطعية وغير قابلة للنقض أو الرجوع، أنه وفي حال تم دفع أي مبالغ من قبل المؤمن/ شركة التأمين أو أي جهة أخرى  إلى المستأجر ناشئة عن المطالبة بالتعويض عن الأضرار، فان المستأجر يتعهد بإعادة هذه المبالغ للمؤجر بإعتبارها حقا له.</t>
  </si>
  <si>
    <t xml:space="preserve">21.7 من المتفق عليه بين فريقي هذا العقد بأن على المستأجر في حال حدوث أية أعطال/ أضرار للعين المؤجرة نتيجة أي حادث ومع مراعاة  إتخاذ الاجراءات اللازمة حسب بوليصة التأمين في مواعيدها فإنه يكون ملزماً بإشعار المؤجر فوراً و خطياً بحدوث ذلك العطل / الضرر/ الحادث، مع بيان طبيعة العطل/ الضرر وذلك بموجب تقرير فني شامل خلال يومين كحد أقصى من تاريخ وقوع الحادث، مع بيان حجم الخسائر والأضرار التي حصلت وتكلفة إصلاح العين المؤجرة المتضررة. </t>
  </si>
  <si>
    <t>21.9 يلتزم المستأجر ويتعهد بتعويض المؤجر عن كافة المسؤوليات والنفقات والمصاريف التي قد يتكبدها والتي قد تنشـأ عن أية إدعاءات و/أو طلبات و/أو مطالبات / دعاوى / إجراءات / أضرار / خسائر/ مصاريف / نفقات (والمشار اليها هنا بـ "الخسائر") والناشئة عن أي دعاوى تقام من المؤجر أو ضده والناشئة عن هذا العقد أو أي من وثائق / مستندات أخرى تابعة له وثائق الإجارة (بما في ذلك أي خسائر أو دعاوى تقام من المؤجر أو ضده بسبب الهلاك الكلي للعين المؤجرة) والناشئة عن فعل  المستأجر أو تقصيره أو إخلاله بالتزاماته الناشئة عن هذا العقد والتي من ضمنها، وليس على سبيل الحصر، إخلال المستأجر بإجراء أعمال الصيانة الرئيسية  في حال كان المستأجر وكيلاً للمؤجر بإجراء أعمال الصيانة الرئيسية، و/أو قيام المستأجر بأي فعل /تصرف  من شأنه أن يؤدي إلى إلغاء بوليصة/ بوالص التأمين أو إلى زيادة تكلفة بوالص التأمين، أو أي تصرف مشابه.</t>
  </si>
  <si>
    <t>22.2 للغاية المبينة فإن من المفهوم للمستأجر أنه عند حدوث حالة إخلال بأحكام وشروط هذا العقد  من طرفه  أو في حالات التعثر، فإن من حق المؤجر إنهاء هذا العقد فوراً، ويشترط في حالات الإخلال أن يكون المؤجر قد أخطر المستأجر بضرورة إصلاح هذا الإخلال خلال مدة عشرة أيام على الأقل وأمتنع المستأجر رغم ذلك عن إصلاح الإخلال أو الرجوع عن المخالفة، وفي هذه الحالة يكون من حق المؤجر إنهاء هذا العقد فوراً وتصبح باقي الاجرة مستحقة الاداء فورا وذلك دون الحاجة للجوء للقضاء،  ويتوجب على المستأجر أن يقوم فوراً بإعادة العين المؤجرة إلى المؤجر، بالإضافة إلى أي عين أخرى مؤجرة للمستأجر بموجب عقود تأجير أخرى مبرمة  بين المؤجر والمستأجر، كما أنه يحق للمؤجر ووفقا لخياره وإرادته المنفردة أن يطلب من المستأجر شراء العين المؤجرة من خلال دفع المستأجر لـ"مبلغ الانهاء" وأية مبالغ مستحقة في ذمته تجاه المؤجر، وفقا لسند التعهد بالشراء، كما يحق للمؤجر في هذه الحالة الرجوع على المستأجر بالتعويض عن الضرر الفعلي نتيجة إخلاله بأحكام هذا العقد، ودون الإخلال بحق المؤجر في أي حقوق اخرى يخولها هذا العقد أو القانون للمؤجر في هذه الحالة.</t>
  </si>
  <si>
    <t xml:space="preserve">22.3 من المتفق عليه بين الطرفين أن المستأجر يعتبر متعثراً في الحالات الاتية: </t>
  </si>
  <si>
    <t>23.2 يقر المستاجر بحق  ممثلي المؤجر، المفوضين حسب الأصول، متابعة والإطلاع على حالة العين المؤجرة بدون حاجة لإشعار أو إخطار المستأجر بذلك مسبقاً، ويجب على المستأجر أن يمكن ممثلي المؤجر من الوصول للعين المؤجرة.</t>
  </si>
  <si>
    <t>(ب) لأي طرف ثالث في حال تم إحالة أو نقل حقوق المؤجر وإلتزاماته ضمن هذا العقد للغير/ لأي طرف ثالث.</t>
  </si>
  <si>
    <t>(د) لأية سلطة حكومية تابعة لأي دولة أجنبية، والتي لها سلطة الإشراف والرقابة على المؤجر وشريكه/ شركائه، ولأي سلطة حكومية أو جهة رقابية لها سلطة الإشراف والرقابة على المؤجر وشركاءه في فلسطين وذلك لغايات إمتثال المؤجر وشريكه/ شركاؤه لمتطلبات القوانين والتعليمات المطبقة في فلسطين.</t>
  </si>
  <si>
    <t xml:space="preserve">25.2- بالإضافة إلى ما تقدم يوافق المستأجر بموجب هذا العقد على ما يلي: </t>
  </si>
  <si>
    <t>26.9 في حال وجود تعارض / تضارب  بين هذا العقد وبين أي من ملاحقه أو مرفقاته فإن أحكام هذا العقد تكون هي النافذة بين الطرفين.</t>
  </si>
  <si>
    <t>26.10 تعتبر الملاحق التابعة لهذا العقد ومرفقاته الموقعة حسب الأصول،  جزءً أساسياً لا يتجزأ من هذا العقد ويقرآن معا كوحدة واحدة.</t>
  </si>
  <si>
    <t>26.12 يبقى هذا العقد ساري المفعول ونافذاً في حال إشهار إفلاس أو تصفية أو إعسار المؤجر، وكل ذلك شريطة أن يكون المستأجر مستمراً في أداء كافة إلتزامته الناشئة عن هذا العقد في مواجهة المؤجر، وفي هذه الحالة تنتقل للمالك الجديد، الذي آلت إليه ملكية العين المؤجرة نتيجة إجراءات التصفية أو إشهار الإفلاس، كافة حقوق المؤجر المنصوص عليها في هذا العقد، ولا يحق للمالك الجديد إستعادة حيازة العين المؤجرة، أو إنهاء هذا العقد، إلا إذا أخل المستأجر بإلتزاماته  وفقاً لما جاء فيه، على انه وفي حال إذا أشهر إفلاس المستأجر بحكم قضائي، لا تدخل العين المؤجرة ضمن موجودات تفليسته. ويحل المصفي محل المستأجر في كافة حقوقه وإلتزاماته الواردة في هذا العقد حتى إنتهاءه أو إنهاؤه.</t>
  </si>
  <si>
    <t xml:space="preserve">26.13 يخضع هذا العقد للقوانين في دولة فلسطين بما لا يتعارض مع مبادئ وقواعد الشريعة الاسلامية، وأن أي نزاع قد ينشأ عن هذا  العقد، يحال إلى المحاكم التي يختارها المؤجر منفرداً داخل أو خارج فلسطين للنظر والفصل في النزاع، ما لم يتم التوصل لحل النزاع بصورة ودية.  </t>
  </si>
  <si>
    <r>
      <t>الفريق الأول</t>
    </r>
    <r>
      <rPr>
        <b/>
        <sz val="12"/>
        <color theme="1"/>
        <rFont val="CG Times"/>
        <family val="1"/>
      </rPr>
      <t>:</t>
    </r>
    <r>
      <rPr>
        <sz val="12"/>
        <color theme="1"/>
        <rFont val="CG Times"/>
        <family val="1"/>
      </rPr>
      <t xml:space="preserve"> </t>
    </r>
    <r>
      <rPr>
        <sz val="12"/>
        <color theme="1"/>
        <rFont val="Times New Roman"/>
        <family val="1"/>
      </rPr>
      <t xml:space="preserve">شركة الإجارة الفلسطينية والمسجلة تحت الرقم </t>
    </r>
    <r>
      <rPr>
        <sz val="12"/>
        <color theme="1"/>
        <rFont val="CG Times"/>
        <family val="1"/>
      </rPr>
      <t>(562528679)</t>
    </r>
    <r>
      <rPr>
        <sz val="12"/>
        <color theme="1"/>
        <rFont val="Times New Roman"/>
        <family val="1"/>
      </rPr>
      <t>، وعنوانها لغايات التبليغ المصايف الإرسال/ رام الله، دولة فلسطين والمشار إليه</t>
    </r>
    <r>
      <rPr>
        <b/>
        <sz val="12"/>
        <color theme="1"/>
        <rFont val="Times New Roman"/>
        <family val="1"/>
      </rPr>
      <t xml:space="preserve"> فيما يلي في هذا العقد بـ (الفريق الأول/ المؤجر/ الواعد باالشراء والتأجير).</t>
    </r>
  </si>
  <si>
    <r>
      <t>اولا:</t>
    </r>
    <r>
      <rPr>
        <sz val="12"/>
        <color theme="1"/>
        <rFont val="Times New Roman"/>
        <family val="1"/>
      </rPr>
      <t xml:space="preserve"> تعتبر مقدمة هذه الاتفاقية وملاحقها ومرفقاتها بما فيها جدول دفعات السداد والمشار اليه فيما يلي بالملحق رقم (1) جزء لا يتجزأ منها وتقرأ معها كوحدة واحدة.</t>
    </r>
  </si>
  <si>
    <r>
      <t xml:space="preserve">ولغايات هذا التعريف فان من المتفق عليه بين الطرفين أنه </t>
    </r>
    <r>
      <rPr>
        <sz val="12"/>
        <color theme="1"/>
        <rFont val="Times New Roman"/>
        <family val="1"/>
      </rPr>
      <t xml:space="preserve">بعد قيام المستأجر بسداد جميع التزماته الناشئة عن هذا  العقد في مواجهة المؤجر، فان للمستأجر الخيار: </t>
    </r>
  </si>
  <si>
    <r>
      <t>3. </t>
    </r>
    <r>
      <rPr>
        <b/>
        <sz val="12"/>
        <color theme="1"/>
        <rFont val="Times New Roman"/>
        <family val="1"/>
      </rPr>
      <t>مدة عقد التأجير</t>
    </r>
  </si>
  <si>
    <r>
      <t xml:space="preserve">7. </t>
    </r>
    <r>
      <rPr>
        <b/>
        <sz val="12"/>
        <color theme="1"/>
        <rFont val="Times New Roman"/>
        <family val="1"/>
      </rPr>
      <t>تسليم العين المؤجرة للمستأجر</t>
    </r>
  </si>
  <si>
    <r>
      <t xml:space="preserve">7.1. من المتفق عليه بين الفريقين أن المورد سوف يقوم بتسليم العين المؤجرة للمستأجر من خلال ممثلي المؤجر و/أو المورد في المكان المحدد في  </t>
    </r>
    <r>
      <rPr>
        <u/>
        <sz val="12"/>
        <color theme="1"/>
        <rFont val="Times New Roman"/>
        <family val="1"/>
      </rPr>
      <t>عقد وعد بالإستئجار المنتهي بالتمليك المقترن بوعد الشراء والتأجير</t>
    </r>
    <r>
      <rPr>
        <sz val="12"/>
        <color theme="1"/>
        <rFont val="Times New Roman"/>
        <family val="1"/>
      </rPr>
      <t xml:space="preserve"> او حسب الإتفاق. وللغاية المبينة يتعهد المستأجر بالقيام بكافة الإجراءات اللازمة لمعاينة العين المؤجرة وقبولها في الوقت المتفق عليه بين المؤجر والمستأجر، أو في الوقت الذي يحدده المؤجر بإرادته المنفردة، وكل ذلك دون تأخير وبما لا يضر بالمؤجر،</t>
    </r>
    <r>
      <rPr>
        <b/>
        <sz val="12"/>
        <color theme="1"/>
        <rFont val="Times New Roman"/>
        <family val="1"/>
      </rPr>
      <t xml:space="preserve"> </t>
    </r>
    <r>
      <rPr>
        <sz val="12"/>
        <color theme="1"/>
        <rFont val="Times New Roman"/>
        <family val="1"/>
      </rPr>
      <t xml:space="preserve"> وبخلاف ذلك يكون المستأجر ملزما بتعويض المؤجر عن الأضرار والخسائر التي تكبدها نتيجة لإخلال المستأجر بهذا الإلتزام.</t>
    </r>
  </si>
  <si>
    <r>
      <t>9.</t>
    </r>
    <r>
      <rPr>
        <sz val="12"/>
        <color theme="1"/>
        <rFont val="Arial"/>
        <family val="2"/>
      </rPr>
      <t xml:space="preserve"> يتم نقل ملكية العين المؤجرة إلى المستأجر بعد سداده الدفعة النهائية، شريطة إلتزامه بالوفاء بكافة الإلتزامات المنصوص عليها في هذا العقد و/او أي من ملاحقه ومرفقاته.</t>
    </r>
  </si>
  <si>
    <r>
      <t xml:space="preserve">11. </t>
    </r>
    <r>
      <rPr>
        <b/>
        <sz val="12"/>
        <color theme="1"/>
        <rFont val="Times New Roman"/>
        <family val="1"/>
      </rPr>
      <t>إعفاء المؤجر من المسؤولية</t>
    </r>
    <r>
      <rPr>
        <sz val="12"/>
        <color theme="1"/>
        <rFont val="Times New Roman"/>
        <family val="1"/>
      </rPr>
      <t xml:space="preserve"> </t>
    </r>
    <r>
      <rPr>
        <b/>
        <sz val="12"/>
        <color theme="1"/>
        <rFont val="Times New Roman"/>
        <family val="1"/>
      </rPr>
      <t>والتعويض</t>
    </r>
    <r>
      <rPr>
        <sz val="12"/>
        <color theme="1"/>
        <rFont val="Times New Roman"/>
        <family val="1"/>
      </rPr>
      <t xml:space="preserve"> </t>
    </r>
  </si>
  <si>
    <r>
      <t xml:space="preserve">12. </t>
    </r>
    <r>
      <rPr>
        <b/>
        <sz val="12"/>
        <color theme="1"/>
        <rFont val="Times New Roman"/>
        <family val="1"/>
      </rPr>
      <t>حقوق المؤجر</t>
    </r>
    <r>
      <rPr>
        <sz val="12"/>
        <color theme="1"/>
        <rFont val="Times New Roman"/>
        <family val="1"/>
      </rPr>
      <t>:</t>
    </r>
  </si>
  <si>
    <r>
      <t xml:space="preserve">14.8 </t>
    </r>
    <r>
      <rPr>
        <b/>
        <sz val="12"/>
        <color theme="1"/>
        <rFont val="Times New Roman"/>
        <family val="1"/>
      </rPr>
      <t>السداد المبكر بعد تاريخ التسليم</t>
    </r>
  </si>
  <si>
    <r>
      <t xml:space="preserve">15. </t>
    </r>
    <r>
      <rPr>
        <b/>
        <sz val="12"/>
        <color theme="1"/>
        <rFont val="Times New Roman"/>
        <family val="1"/>
      </rPr>
      <t>التزامات</t>
    </r>
    <r>
      <rPr>
        <sz val="12"/>
        <color theme="1"/>
        <rFont val="Times New Roman"/>
        <family val="1"/>
      </rPr>
      <t xml:space="preserve"> </t>
    </r>
    <r>
      <rPr>
        <b/>
        <sz val="12"/>
        <color theme="1"/>
        <rFont val="Times New Roman"/>
        <family val="1"/>
      </rPr>
      <t>المستأجر</t>
    </r>
  </si>
  <si>
    <r>
      <t>16.9 أن يقوم الكفيل بتزويد  المؤجر بالمعلومات والوثائق اللازمة التي يطلبها المؤجر والضرورية من أجل إجراء أية</t>
    </r>
    <r>
      <rPr>
        <b/>
        <sz val="12"/>
        <color theme="1"/>
        <rFont val="Times New Roman"/>
        <family val="1"/>
      </rPr>
      <t xml:space="preserve"> </t>
    </r>
    <r>
      <rPr>
        <sz val="12"/>
        <color theme="1"/>
        <rFont val="Times New Roman"/>
        <family val="1"/>
      </rPr>
      <t xml:space="preserve">إطلاعات لمتابعة مركزه ووضعه المالي. </t>
    </r>
  </si>
  <si>
    <r>
      <t>16.10 من المتفق عليه ان الحجز على أموال المستأجر المنقولة و</t>
    </r>
    <r>
      <rPr>
        <sz val="12"/>
        <color theme="1"/>
        <rFont val="CG Times"/>
        <family val="1"/>
      </rPr>
      <t>/</t>
    </r>
    <r>
      <rPr>
        <sz val="12"/>
        <color theme="1"/>
        <rFont val="Times New Roman"/>
        <family val="1"/>
      </rPr>
      <t>أو غير المنقولة و</t>
    </r>
    <r>
      <rPr>
        <sz val="12"/>
        <color theme="1"/>
        <rFont val="CG Times"/>
        <family val="1"/>
      </rPr>
      <t>/</t>
    </r>
    <r>
      <rPr>
        <sz val="12"/>
        <color theme="1"/>
        <rFont val="Times New Roman"/>
        <family val="1"/>
      </rPr>
      <t xml:space="preserve">أو المباشرة باجراءات الإفلاس ضد المستأجر أو الإنهاء المبكر لعقد التأجير لأي سبب من الأسباب، لا يعفي الكفيل من واجباته وإلتزاماته تجاه المؤجر بموجب هذا العقد، </t>
    </r>
  </si>
  <si>
    <r>
      <t xml:space="preserve">17. </t>
    </r>
    <r>
      <rPr>
        <b/>
        <sz val="12"/>
        <color theme="1"/>
        <rFont val="Times New Roman"/>
        <family val="1"/>
      </rPr>
      <t>صيانة العين المؤجرة</t>
    </r>
  </si>
  <si>
    <r>
      <t>17.1</t>
    </r>
    <r>
      <rPr>
        <b/>
        <sz val="12"/>
        <color theme="1"/>
        <rFont val="Times New Roman"/>
        <family val="1"/>
      </rPr>
      <t xml:space="preserve"> </t>
    </r>
    <r>
      <rPr>
        <sz val="12"/>
        <color theme="1"/>
        <rFont val="Times New Roman"/>
        <family val="1"/>
      </rPr>
      <t>يكون المستأجر مسؤولا، على نفقته الخاصة وحسابه، عن إجراء الصيانة الاعتيادية للعين المؤجرة في المواعيد المحددة.</t>
    </r>
  </si>
  <si>
    <r>
      <t xml:space="preserve">18. </t>
    </r>
    <r>
      <rPr>
        <b/>
        <sz val="12"/>
        <color theme="1"/>
        <rFont val="Times New Roman"/>
        <family val="1"/>
      </rPr>
      <t>التعديلات على العين المؤجرة</t>
    </r>
  </si>
  <si>
    <r>
      <t>19.5 في حال هلاك العين المؤجرة كلياً فإن من المتفق عليه بين الفريقين على ما ياتي</t>
    </r>
    <r>
      <rPr>
        <sz val="12"/>
        <color theme="1"/>
        <rFont val="Times New Roman"/>
        <family val="1"/>
      </rPr>
      <t>:</t>
    </r>
  </si>
  <si>
    <r>
      <t>19.5.3 اذا كان الهلاك الكلي يعزى إلى خطأ المستأجر أو إهماله أو سوء تصرفه، فان المستأجر يكون ملزماً في هذه الحالة  بتعويض المؤجر عن أية نفقات فعلية و</t>
    </r>
    <r>
      <rPr>
        <sz val="12"/>
        <color theme="1"/>
        <rFont val="CG Times"/>
        <family val="1"/>
      </rPr>
      <t xml:space="preserve">/ </t>
    </r>
    <r>
      <rPr>
        <sz val="12"/>
        <color theme="1"/>
        <rFont val="Times New Roman"/>
        <family val="1"/>
      </rPr>
      <t xml:space="preserve">أو خسائر </t>
    </r>
    <r>
      <rPr>
        <sz val="12"/>
        <color theme="1"/>
        <rFont val="CG Times"/>
        <family val="1"/>
      </rPr>
      <t>(</t>
    </r>
    <r>
      <rPr>
        <sz val="12"/>
        <color theme="1"/>
        <rFont val="Times New Roman"/>
        <family val="1"/>
      </rPr>
      <t xml:space="preserve">عدا الربح الفائت والترتيبات المالية </t>
    </r>
    <r>
      <rPr>
        <sz val="12"/>
        <color theme="1"/>
        <rFont val="CG Times"/>
        <family val="1"/>
      </rPr>
      <t>/</t>
    </r>
    <r>
      <rPr>
        <sz val="12"/>
        <color theme="1"/>
        <rFont val="Times New Roman"/>
        <family val="1"/>
      </rPr>
      <t xml:space="preserve">التمويلية </t>
    </r>
    <r>
      <rPr>
        <sz val="12"/>
        <color theme="1"/>
        <rFont val="CG Times"/>
        <family val="1"/>
      </rPr>
      <t xml:space="preserve">) </t>
    </r>
    <r>
      <rPr>
        <sz val="12"/>
        <color theme="1"/>
        <rFont val="Times New Roman"/>
        <family val="1"/>
      </rPr>
      <t>و</t>
    </r>
    <r>
      <rPr>
        <sz val="12"/>
        <color theme="1"/>
        <rFont val="CG Times"/>
        <family val="1"/>
      </rPr>
      <t xml:space="preserve">/ </t>
    </r>
    <r>
      <rPr>
        <sz val="12"/>
        <color theme="1"/>
        <rFont val="Times New Roman"/>
        <family val="1"/>
      </rPr>
      <t>أو نفقات قد يتكبدها المؤجر ولم يتم تغطيتها بتعويضات التأمين بما فيه قيمة العين المؤجرة</t>
    </r>
    <r>
      <rPr>
        <sz val="12"/>
        <color theme="1"/>
        <rFont val="CG Times"/>
        <family val="1"/>
      </rPr>
      <t>.</t>
    </r>
  </si>
  <si>
    <r>
      <t>20</t>
    </r>
    <r>
      <rPr>
        <b/>
        <sz val="12"/>
        <color theme="1"/>
        <rFont val="CG Times"/>
        <family val="1"/>
      </rPr>
      <t xml:space="preserve"> </t>
    </r>
    <r>
      <rPr>
        <b/>
        <sz val="12"/>
        <color theme="1"/>
        <rFont val="Times New Roman"/>
        <family val="1"/>
      </rPr>
      <t>الإحالة والتأجير من الباطن والقيود والضمانات والرهون والبيع</t>
    </r>
  </si>
  <si>
    <r>
      <t>20.4 مع مراعاة ما ذكر أعلاه فإنه وفي حال قيام المؤجر ببيع أو بتقديم العين المؤجرة كضمان لأي قرض أو رهن،  فان ذلك يجب أن لا يمس بأي حق للمستأجر ناشئ عن هذا العقد، وبخلاف ما جاء في هذا العقد وفي القوانين النافذة  فلا يجوز فرض أي التزامات جديدة على المستأجر</t>
    </r>
    <r>
      <rPr>
        <sz val="12"/>
        <color theme="1"/>
        <rFont val="CG Times"/>
        <family val="1"/>
      </rPr>
      <t>.</t>
    </r>
    <r>
      <rPr>
        <sz val="12"/>
        <color theme="1"/>
        <rFont val="Times New Roman"/>
        <family val="1"/>
      </rPr>
      <t>على انه اذا  أصبح المؤجر مجبراً على بيع العين المؤجرة قانوناً، فإن المالك الجديد يحل محل المؤجر في جميع حقوقه وإلتزاماته الناشئة عن هذا العقد</t>
    </r>
    <r>
      <rPr>
        <sz val="12"/>
        <color theme="1"/>
        <rFont val="CG Times"/>
        <family val="1"/>
      </rPr>
      <t>.</t>
    </r>
  </si>
  <si>
    <r>
      <t xml:space="preserve">22. </t>
    </r>
    <r>
      <rPr>
        <b/>
        <sz val="12"/>
        <color theme="1"/>
        <rFont val="Times New Roman"/>
        <family val="1"/>
      </rPr>
      <t>انهاء العقد</t>
    </r>
  </si>
  <si>
    <r>
      <t>22.1.2 في الحالات التالية</t>
    </r>
    <r>
      <rPr>
        <b/>
        <sz val="12"/>
        <color theme="1"/>
        <rFont val="Times New Roman"/>
        <family val="1"/>
      </rPr>
      <t>:</t>
    </r>
  </si>
  <si>
    <r>
      <t xml:space="preserve">ب. </t>
    </r>
    <r>
      <rPr>
        <b/>
        <sz val="12"/>
        <color theme="1"/>
        <rFont val="Times New Roman"/>
        <family val="1"/>
      </rPr>
      <t xml:space="preserve">عدول المستأجر عن الشراء: </t>
    </r>
    <r>
      <rPr>
        <sz val="12"/>
        <color theme="1"/>
        <rFont val="Times New Roman"/>
        <family val="1"/>
      </rPr>
      <t xml:space="preserve">من المفهوم للمستأجر بأنه وفي حال رغب بالعدول عن ممارسة خيار الشراء لأي سبب من الأسباب وفي أي وقت كان فأنه يكون ملزماً بإعادة العين المؤجرة إلى المؤجر فوراً ويكون ملزماً برفع إسمه من سندات تسجيل العين، ويفوض المؤجر للقيام بذلك بدون الرجوع اليه، وفي هذه الحالة فان المستأجر يتحمل كامل الإلتزامات الناتجة عن هذا العقد ، حتى إنتهاء مدة العقد المتفق عليها فيه ، كما تعتبر كافة الدفعات التأجيرية السابقة حقاً للمؤجر، ويسقط المستأجر حقه بالإعتراض على ذلك. </t>
    </r>
  </si>
  <si>
    <r>
      <t xml:space="preserve">22.4  </t>
    </r>
    <r>
      <rPr>
        <b/>
        <sz val="12"/>
        <color theme="1"/>
        <rFont val="Times New Roman"/>
        <family val="1"/>
      </rPr>
      <t>كما أن من المتفق عليه بين الطرفين بأن المستأجر يعتبر مخلاً بأحكام هذا العقد في الحالات التالية:</t>
    </r>
  </si>
  <si>
    <r>
      <t>23.</t>
    </r>
    <r>
      <rPr>
        <b/>
        <sz val="12"/>
        <color theme="1"/>
        <rFont val="Times New Roman"/>
        <family val="1"/>
      </rPr>
      <t xml:space="preserve"> تعهدات وإقرارات المستأجر</t>
    </r>
    <r>
      <rPr>
        <sz val="12"/>
        <color theme="1"/>
        <rFont val="Times New Roman"/>
        <family val="1"/>
      </rPr>
      <t xml:space="preserve"> </t>
    </r>
  </si>
  <si>
    <r>
      <t xml:space="preserve">24. </t>
    </r>
    <r>
      <rPr>
        <b/>
        <sz val="12"/>
        <color theme="1"/>
        <rFont val="Times New Roman"/>
        <family val="1"/>
      </rPr>
      <t>اعادة العين المؤجرة</t>
    </r>
    <r>
      <rPr>
        <sz val="12"/>
        <color theme="1"/>
        <rFont val="Times New Roman"/>
        <family val="1"/>
      </rPr>
      <t xml:space="preserve"> </t>
    </r>
  </si>
  <si>
    <r>
      <t xml:space="preserve">25. </t>
    </r>
    <r>
      <rPr>
        <b/>
        <sz val="12"/>
        <color theme="1"/>
        <rFont val="Times New Roman"/>
        <family val="1"/>
      </rPr>
      <t>الافصاح عن المعلومات:</t>
    </r>
    <r>
      <rPr>
        <sz val="12"/>
        <color theme="1"/>
        <rFont val="Times New Roman"/>
        <family val="1"/>
      </rPr>
      <t xml:space="preserve"> </t>
    </r>
  </si>
  <si>
    <r>
      <t xml:space="preserve">26. </t>
    </r>
    <r>
      <rPr>
        <b/>
        <sz val="12"/>
        <color theme="1"/>
        <rFont val="Times New Roman"/>
        <family val="1"/>
      </rPr>
      <t>احكام عامة وختامية:</t>
    </r>
  </si>
  <si>
    <r>
      <t>26.3 ما لم ينص القانون على خلاف ذلك، فإنه لا يجوز تقاص الديون غير المدفوعة والمستحقة على المستأجر للمؤجر مقابل أي ديون مترتبة على المؤجر للمستأجر في حال وجودها</t>
    </r>
    <r>
      <rPr>
        <sz val="12"/>
        <color theme="1"/>
        <rFont val="CG Times"/>
        <family val="1"/>
      </rPr>
      <t>.</t>
    </r>
  </si>
  <si>
    <r>
      <t>26.4 إن المستأجر ليس طرفا في أي عقود و</t>
    </r>
    <r>
      <rPr>
        <sz val="12"/>
        <color theme="1"/>
        <rFont val="CG Times"/>
        <family val="1"/>
      </rPr>
      <t>/</t>
    </r>
    <r>
      <rPr>
        <sz val="12"/>
        <color theme="1"/>
        <rFont val="Times New Roman"/>
        <family val="1"/>
      </rPr>
      <t>او اتفاقيات و</t>
    </r>
    <r>
      <rPr>
        <sz val="12"/>
        <color theme="1"/>
        <rFont val="CG Times"/>
        <family val="1"/>
      </rPr>
      <t>/</t>
    </r>
    <r>
      <rPr>
        <sz val="12"/>
        <color theme="1"/>
        <rFont val="Times New Roman"/>
        <family val="1"/>
      </rPr>
      <t>او تفاهمات و</t>
    </r>
    <r>
      <rPr>
        <sz val="12"/>
        <color theme="1"/>
        <rFont val="CG Times"/>
        <family val="1"/>
      </rPr>
      <t xml:space="preserve">/ </t>
    </r>
    <r>
      <rPr>
        <sz val="12"/>
        <color theme="1"/>
        <rFont val="Times New Roman"/>
        <family val="1"/>
      </rPr>
      <t>أو دعوى و</t>
    </r>
    <r>
      <rPr>
        <sz val="12"/>
        <color theme="1"/>
        <rFont val="CG Times"/>
        <family val="1"/>
      </rPr>
      <t>/</t>
    </r>
    <r>
      <rPr>
        <sz val="12"/>
        <color theme="1"/>
        <rFont val="Times New Roman"/>
        <family val="1"/>
      </rPr>
      <t>او مقام ضده أي قضايا أو دعاوى تحكيم أو إجراءات إدارية أو تحقيقات أو تدقيق حسابات حكومي من شأنها التاثير عليه بشكل سلبي جوهري</t>
    </r>
    <r>
      <rPr>
        <sz val="12"/>
        <color theme="1"/>
        <rFont val="CG Times"/>
        <family val="1"/>
      </rPr>
      <t>.</t>
    </r>
  </si>
  <si>
    <r>
      <t>26.5 إن عدم ممارسة  المؤجر لحقوقه الواردة في هذا العقد و</t>
    </r>
    <r>
      <rPr>
        <sz val="12"/>
        <color theme="1"/>
        <rFont val="CG Times"/>
        <family val="1"/>
      </rPr>
      <t>/</t>
    </r>
    <r>
      <rPr>
        <sz val="12"/>
        <color theme="1"/>
        <rFont val="Times New Roman"/>
        <family val="1"/>
      </rPr>
      <t>أو لأي جزء منها  لا يعنى التنازل عن تلك الحقوق بأي حال من الأحوال</t>
    </r>
    <r>
      <rPr>
        <sz val="12"/>
        <color theme="1"/>
        <rFont val="CG Times"/>
        <family val="1"/>
      </rPr>
      <t>.</t>
    </r>
  </si>
  <si>
    <r>
      <t>26.14 ترسل جميع الإشعارات والمخاطبات والمراسلات وأية مستندات ذات علاقة بهذا العقد و</t>
    </r>
    <r>
      <rPr>
        <sz val="12"/>
        <color theme="1"/>
        <rFont val="CG Times"/>
        <family val="1"/>
      </rPr>
      <t>/</t>
    </r>
    <r>
      <rPr>
        <sz val="12"/>
        <color theme="1"/>
        <rFont val="Times New Roman"/>
        <family val="1"/>
      </rPr>
      <t xml:space="preserve">أو قد تنشأ عنه بصورة خطية، ما لم ينص هذا العقد على خلاف ذلك، ويعتبر تسليمها باليد أو إرسالها بالبريد الإلكتروني، والرسائل النصية من خلال الهاتف المحمول، أو بالفاكس على عنوان الطرف المعني المبين في هذا العقد تبليغاً اصولياً متى تسلمها الطرف المعني أو أي شخص مفوض عنه قانونا، وللغاية المبينة أعلاه فإن المستأجر يكون ملزماً بإشعار المؤجر في حال تغيير عنوانه المبين في هذا العقد خلال أسبوع كحد اقصى من تاريخ تغيير العنوان، وبعكس ذلك فان أي إشعار </t>
    </r>
    <r>
      <rPr>
        <sz val="12"/>
        <color theme="1"/>
        <rFont val="CG Times"/>
        <family val="1"/>
      </rPr>
      <t xml:space="preserve">/ </t>
    </r>
    <r>
      <rPr>
        <sz val="12"/>
        <color theme="1"/>
        <rFont val="Times New Roman"/>
        <family val="1"/>
      </rPr>
      <t xml:space="preserve">إنذار </t>
    </r>
    <r>
      <rPr>
        <sz val="12"/>
        <color theme="1"/>
        <rFont val="CG Times"/>
        <family val="1"/>
      </rPr>
      <t xml:space="preserve">/ </t>
    </r>
    <r>
      <rPr>
        <sz val="12"/>
        <color theme="1"/>
        <rFont val="Times New Roman"/>
        <family val="1"/>
      </rPr>
      <t>تبليغ مرسل على عنوان المستأجر المبين في هذا العقد يعتبر أنه قد تم بصورة أصولية</t>
    </r>
    <r>
      <rPr>
        <sz val="12"/>
        <color theme="1"/>
        <rFont val="CG Times"/>
        <family val="1"/>
      </rPr>
      <t xml:space="preserve">. </t>
    </r>
  </si>
  <si>
    <r>
      <rPr>
        <sz val="12"/>
        <color theme="1"/>
        <rFont val="Times"/>
        <family val="1"/>
      </rPr>
      <t>26.16</t>
    </r>
    <r>
      <rPr>
        <sz val="12"/>
        <color theme="1"/>
        <rFont val="CG Times"/>
        <family val="1"/>
      </rPr>
      <t xml:space="preserve"> </t>
    </r>
    <r>
      <rPr>
        <sz val="12"/>
        <color theme="1"/>
        <rFont val="Times New Roman"/>
        <family val="1"/>
      </rPr>
      <t>يقر كل من الطرفين أنه قد اطلع على هذا العقد قبل توقيعه وانه قد تفهم جميع أحكامه وشروطه، وأنه قد تم  تحرير وتوقيع هذا العقد على نسختين من قبل المستأجر والمؤجر أو ممثليهما القانونيين بإرادة حرة خالية من العيوب، وقد إستلم كل طرف نسخة واحدة من هذا العقد.</t>
    </r>
    <r>
      <rPr>
        <sz val="12"/>
        <color theme="1"/>
        <rFont val="CG Times"/>
        <family val="1"/>
      </rPr>
      <t xml:space="preserve"> </t>
    </r>
  </si>
  <si>
    <t>حيث أن المؤجر شركة مرخصة للعمل في مجال  التأجير والتأجير المنتهي بالتمليك (البديل الشرعي للتأجير التمويلي) وفقا للقوانين الفلسطينية المعمول بها،. وبما أن المستأجر يرغب باستئجار العين محل هذا العقد والموصوفة لاحقا في الجدول ادناه (البند 5) من هذا العقد، وذلك وفقا للشروط والأحكام المذكورة في هذا العقد وملاحقه، ووفقا لعقد التوريد والشراء الموقع بين المؤجر والمورد، مقابل الدفعات التأجيرية المتفق عليها المبينة في البند رقم 9 ومدتها المبينة في البند 7 من الجدول ادناة ووفقاً للقوانين والتشريعات السارية في دولة فلسطين على أن يتم استخدامها في الغاية المحدده لها في هذا العقد والمذكورة في الند رقم 8 في الجدول ادناه. وبما أن المؤجر قد وافق على ذلك فقد تم الإتفاق بين الفريقين على الشروط والأسس والأحكام الآتية:</t>
  </si>
  <si>
    <r>
      <t>ويشار إليهم  فيما يلي منفردين بـ (</t>
    </r>
    <r>
      <rPr>
        <b/>
        <sz val="12"/>
        <color theme="1"/>
        <rFont val="Times New Roman"/>
        <family val="1"/>
      </rPr>
      <t>الطرف)</t>
    </r>
    <r>
      <rPr>
        <sz val="12"/>
        <color theme="1"/>
        <rFont val="Times New Roman"/>
        <family val="1"/>
      </rPr>
      <t xml:space="preserve"> أو مجتمعين بـ (</t>
    </r>
    <r>
      <rPr>
        <b/>
        <sz val="12"/>
        <color theme="1"/>
        <rFont val="Times New Roman"/>
        <family val="1"/>
      </rPr>
      <t>الأطراف)</t>
    </r>
    <r>
      <rPr>
        <sz val="12"/>
        <color theme="1"/>
        <rFont val="Times New Roman"/>
        <family val="1"/>
      </rPr>
      <t>.</t>
    </r>
  </si>
  <si>
    <t>7.3. يلتزم المستأجر بإجراء فحص للعين المؤجرة عند إستلامها ومعاينتها والتحقق من عدم وجود أي عيوب ظاهرة فيها وأنها مطابقة للشروط والمواصفات المتفق عليها والمبينة في الجدول المشار اليه في هذا العقد وبخلاف ذلك فلا يكون المؤجر مسؤولاً في مواجهة المستأجر عن أي إدعاءات تتعلق بعدم مطابقة العين المؤجرة للمواصفات أو بوجود أي نواقص أوعيوب فيها.</t>
  </si>
  <si>
    <r>
      <t xml:space="preserve">24.3 يوافق المستأجرعلى أن للمؤجر الحق في معاينة وفحص العين المؤجرة شخصياً أو من خلال ممثله القانوني وذلك قبل قبولها وتسلمها من المستأجر في حال إستعادتها، على أنه في حال تم إكتشاف أي عيب أو ضرر أو غيرها من العيوب (بإستثناء التلف بسبب الإستخدام الطبيعي </t>
    </r>
    <r>
      <rPr>
        <b/>
        <sz val="12"/>
        <color theme="1"/>
        <rFont val="Times New Roman"/>
        <family val="1"/>
      </rPr>
      <t>(</t>
    </r>
    <r>
      <rPr>
        <sz val="12"/>
        <color theme="1"/>
        <rFont val="Times New Roman"/>
        <family val="1"/>
      </rPr>
      <t>فان للمؤجر الحق  ووفقاً لخياره المطلق أن يطلب من المستأجر أن يقوم بإصلاح العين المؤجرة على نفقة المستأجر الخاصة أو تعويض المؤجر بكلفة تصليح ذلك العيب أو الخراب أوالتلف.</t>
    </r>
  </si>
  <si>
    <r>
      <t xml:space="preserve">26.1 من المتفق عليه بين اطراف هذه الاتفاقية بانه وفي حال كان المستاجر والكفيل </t>
    </r>
    <r>
      <rPr>
        <sz val="12"/>
        <color theme="1"/>
        <rFont val="CG Times"/>
        <family val="1"/>
      </rPr>
      <t>"</t>
    </r>
    <r>
      <rPr>
        <sz val="12"/>
        <color theme="1"/>
        <rFont val="Times New Roman"/>
        <family val="1"/>
      </rPr>
      <t>ان وجد</t>
    </r>
    <r>
      <rPr>
        <sz val="12"/>
        <color theme="1"/>
        <rFont val="CG Times"/>
        <family val="1"/>
      </rPr>
      <t xml:space="preserve">" </t>
    </r>
    <r>
      <rPr>
        <sz val="12"/>
        <color theme="1"/>
        <rFont val="Times New Roman"/>
        <family val="1"/>
      </rPr>
      <t>او اي منهما  شركة فانه</t>
    </r>
    <r>
      <rPr>
        <sz val="12"/>
        <color theme="1"/>
        <rFont val="CG Times"/>
        <family val="1"/>
      </rPr>
      <t>/</t>
    </r>
    <r>
      <rPr>
        <sz val="12"/>
        <color theme="1"/>
        <rFont val="Times New Roman"/>
        <family val="1"/>
      </rPr>
      <t>هما يقر</t>
    </r>
    <r>
      <rPr>
        <sz val="12"/>
        <color theme="1"/>
        <rFont val="CG Times"/>
        <family val="1"/>
      </rPr>
      <t>/</t>
    </r>
    <r>
      <rPr>
        <sz val="12"/>
        <color theme="1"/>
        <rFont val="Times New Roman"/>
        <family val="1"/>
      </rPr>
      <t>يقرون بان توقيعه</t>
    </r>
    <r>
      <rPr>
        <sz val="12"/>
        <color theme="1"/>
        <rFont val="CG Times"/>
        <family val="1"/>
      </rPr>
      <t>/</t>
    </r>
    <r>
      <rPr>
        <sz val="12"/>
        <color theme="1"/>
        <rFont val="Times New Roman"/>
        <family val="1"/>
      </rPr>
      <t>هما على هذه الاتفاقية لا يتعارض مع عقد التاسيس والنظام الداخلي وانه</t>
    </r>
    <r>
      <rPr>
        <sz val="12"/>
        <color theme="1"/>
        <rFont val="CG Times"/>
        <family val="1"/>
      </rPr>
      <t>/</t>
    </r>
    <r>
      <rPr>
        <sz val="12"/>
        <color theme="1"/>
        <rFont val="Times New Roman"/>
        <family val="1"/>
      </rPr>
      <t>هما يتعهد</t>
    </r>
    <r>
      <rPr>
        <sz val="12"/>
        <color theme="1"/>
        <rFont val="CG Times"/>
        <family val="1"/>
      </rPr>
      <t>/</t>
    </r>
    <r>
      <rPr>
        <sz val="12"/>
        <color theme="1"/>
        <rFont val="Times New Roman"/>
        <family val="1"/>
      </rPr>
      <t xml:space="preserve">يتعهدون باعلام الشركة خلال </t>
    </r>
    <r>
      <rPr>
        <sz val="12"/>
        <color theme="1"/>
        <rFont val="CG Times"/>
        <family val="1"/>
      </rPr>
      <t xml:space="preserve">10 </t>
    </r>
    <r>
      <rPr>
        <sz val="12"/>
        <color theme="1"/>
        <rFont val="Times New Roman"/>
        <family val="1"/>
      </rPr>
      <t>عشرة ايام عمل كحد اقصى من تاريخ اي تغييرات تحدث في خطط الشركة</t>
    </r>
    <r>
      <rPr>
        <sz val="12"/>
        <color theme="1"/>
        <rFont val="CG Times"/>
        <family val="1"/>
      </rPr>
      <t> </t>
    </r>
    <r>
      <rPr>
        <sz val="12"/>
        <color theme="1"/>
        <rFont val="Times New Roman"/>
        <family val="1"/>
      </rPr>
      <t>الاستراتيجية والتشغيلية،</t>
    </r>
    <r>
      <rPr>
        <sz val="12"/>
        <color theme="1"/>
        <rFont val="CG Times"/>
        <family val="1"/>
      </rPr>
      <t> </t>
    </r>
    <r>
      <rPr>
        <sz val="12"/>
        <color theme="1"/>
        <rFont val="Times New Roman"/>
        <family val="1"/>
      </rPr>
      <t>كما يلتزم</t>
    </r>
    <r>
      <rPr>
        <sz val="12"/>
        <color theme="1"/>
        <rFont val="CG Times"/>
        <family val="1"/>
      </rPr>
      <t>/</t>
    </r>
    <r>
      <rPr>
        <sz val="12"/>
        <color theme="1"/>
        <rFont val="Times New Roman"/>
        <family val="1"/>
      </rPr>
      <t>يلتزمان بالافصاح عن اي تغييرات في الوضع المالي او التجاري للشركة والذي من المتوقع ان تؤثر بشكل سلبي على قدرتها على سداد الدفعات التاجيرية موضوع هذا العقد، وباشعار المؤجر باي دعوى او مطالبة او اجراء او امر قضائي او اداري يتخذ ضد المستاجر و</t>
    </r>
    <r>
      <rPr>
        <sz val="12"/>
        <color theme="1"/>
        <rFont val="CG Times"/>
        <family val="1"/>
      </rPr>
      <t>/</t>
    </r>
    <r>
      <rPr>
        <sz val="12"/>
        <color theme="1"/>
        <rFont val="Times New Roman"/>
        <family val="1"/>
      </rPr>
      <t>او الكفيل او يتعلق باصوله</t>
    </r>
    <r>
      <rPr>
        <sz val="12"/>
        <color theme="1"/>
        <rFont val="CG Times"/>
        <family val="1"/>
      </rPr>
      <t>/</t>
    </r>
    <r>
      <rPr>
        <sz val="12"/>
        <color theme="1"/>
        <rFont val="Times New Roman"/>
        <family val="1"/>
      </rPr>
      <t>موجوداته</t>
    </r>
    <r>
      <rPr>
        <sz val="12"/>
        <color theme="1"/>
        <rFont val="CG Times"/>
        <family val="1"/>
      </rPr>
      <t>/</t>
    </r>
    <r>
      <rPr>
        <sz val="12"/>
        <color theme="1"/>
        <rFont val="Times New Roman"/>
        <family val="1"/>
      </rPr>
      <t>الحقوق العينية المترتبة له او نشاطه واعماله وعملياته او اي حكم قضائي او قرار تحكيم يصدر ضده، او اي حجز تحفظي او تنفيذي يوقع على امواله او يتعلق بالحقوق العينية المترتبة له ويكون له تاثير جوهري على الوضع القانوني او المالي للمستاجر و</t>
    </r>
    <r>
      <rPr>
        <sz val="12"/>
        <color theme="1"/>
        <rFont val="CG Times"/>
        <family val="1"/>
      </rPr>
      <t>/</t>
    </r>
    <r>
      <rPr>
        <sz val="12"/>
        <color theme="1"/>
        <rFont val="Times New Roman"/>
        <family val="1"/>
      </rPr>
      <t>أو الكفيل، وذلك فور حدوث اي من ما سلف ذكره</t>
    </r>
    <r>
      <rPr>
        <sz val="12"/>
        <color theme="1"/>
        <rFont val="CG Times"/>
        <family val="1"/>
      </rPr>
      <t>.</t>
    </r>
  </si>
  <si>
    <r>
      <t>26.6 يشكل هذا العقد مجمل وكامل الاتفاق بين الأطراف، ويلغي أي تفاهمات سابقة بين الأطراف بخصوص موضوع هذا العقد وفي جميع الأحوال لا يجوز تعديل هذا العقد إلا بإتفاق خطي بين الطرفين</t>
    </r>
    <r>
      <rPr>
        <sz val="12"/>
        <color theme="1"/>
        <rFont val="CG Times"/>
        <family val="1"/>
      </rPr>
      <t xml:space="preserve">. </t>
    </r>
  </si>
  <si>
    <t>1.3 تاريخ الإستلام والقبول:</t>
  </si>
  <si>
    <t>1. استناداً الى عقد التأجير المشار إليه أعلاه، يقوم المؤجر بتأجير المستأجر العين المؤجرة وان المستأجر يقر بموافقته على هذا التأجير، ولهذه الغاية فإن مواصفات العين المؤجرة هي مبينة بعقد التأجير اجارة منتهية بالتمليك.</t>
  </si>
  <si>
    <r>
      <t xml:space="preserve">2.1 </t>
    </r>
    <r>
      <rPr>
        <sz val="12"/>
        <color rgb="FF000000"/>
        <rFont val="Times New Roman"/>
        <family val="1"/>
      </rPr>
      <t>يكون للكلمات والمفردات الواردة في هذا العقد المعاني التالية ما لم يدل النص على خلاف ذلك:</t>
    </r>
  </si>
  <si>
    <r>
      <t>2.2</t>
    </r>
    <r>
      <rPr>
        <sz val="12"/>
        <color rgb="FF000000"/>
        <rFont val="Times New Roman"/>
        <family val="1"/>
      </rPr>
      <t xml:space="preserve"> يكون للكلمات والتعابير الواردة في هذا العقد والمعرفة في عقد التأجير  نفس المعاني عند استخدامها في هذا العقد ولهذا الغرض فان هذا العقد يقرا مع عقد التاجير  المبين في مقدمة هذا العقد.</t>
    </r>
  </si>
  <si>
    <r>
      <t>1. يتعهد الوكيل/الفريق الثاني طوال مدة التاجير بتنفيذ اعمال الصيانة الرئيسية للعين المؤجرة بالنيابة عن المؤجر وفقا للشروط التالية:</t>
    </r>
    <r>
      <rPr>
        <b/>
        <sz val="12"/>
        <color rgb="FF000000"/>
        <rFont val="Times New Roman"/>
        <family val="1"/>
      </rPr>
      <t xml:space="preserve"> </t>
    </r>
  </si>
  <si>
    <r>
      <t>8.1</t>
    </r>
    <r>
      <rPr>
        <sz val="12"/>
        <color rgb="FF000000"/>
        <rFont val="Times New Roman"/>
        <family val="1"/>
      </rPr>
      <t xml:space="preserve"> من المفهوم للوكيل بان للمؤجر الحق  في أي وقت من الاوقات خلال مدة هذا العقد ان يحيل / يحول  كل او جزء من حقوقه  والتزاماته المحددة في هذا العقد للغير / لاي شخص ثالث. ("المحال له").  </t>
    </r>
  </si>
  <si>
    <r>
      <t>8.2</t>
    </r>
    <r>
      <rPr>
        <sz val="12"/>
        <color rgb="FF000000"/>
        <rFont val="Times New Roman"/>
        <family val="1"/>
      </rPr>
      <t xml:space="preserve"> يتمتع المحال له /الطرف الثالث بذات الحقوق والالتزامات التي للمؤجر تجاه الوكيل كما لو انه كان طرفاً في هذا العقد.</t>
    </r>
  </si>
  <si>
    <r>
      <t>8.3</t>
    </r>
    <r>
      <rPr>
        <sz val="12"/>
        <color rgb="FF000000"/>
        <rFont val="Times New Roman"/>
        <family val="1"/>
      </rPr>
      <t xml:space="preserve"> وللغاية المبينة اعلاه يتعهد الوكيل بتزويد المؤجر باي وثائق يطلبها الاخير لكي يتمكن  المؤجر من القيام  بنقل و/او احالة اي من الحقوق والالتزامات الواردة في هذا العقد الى الغير وفقا لاحكام هذا البند من هذا العقد. </t>
    </r>
  </si>
  <si>
    <r>
      <t>3. تعتبر الحقوق والصلاحيات المحددة  بموجب هذا العقد جزءا من حقوق وصلاحيات المؤجر  المنصوص عليه في القانون وان التوقيع على هذا العقد لا يشكل تنازلا من المؤجر عن اي من</t>
    </r>
    <r>
      <rPr>
        <sz val="12"/>
        <color theme="1"/>
        <rFont val="Times New Roman"/>
        <family val="1"/>
      </rPr>
      <t xml:space="preserve"> الحقوق الاخرى </t>
    </r>
    <r>
      <rPr>
        <sz val="12"/>
        <color rgb="FF000000"/>
        <rFont val="Times New Roman"/>
        <family val="1"/>
      </rPr>
      <t>المترتبة بموجب القوانين النافذة.</t>
    </r>
  </si>
  <si>
    <t>وبما ان الفريق الثاني المشار اليه لاحقا بالوكيل (والذي من الممكن ايضا ان يكون المستأجر) وافق على ان يقوم باعمال الوكالة موضوع هذا العقد بالنيابة عن الفريق الاول  ووفقا  للشروط والاحكام المتفق عليها  في هذا العقد و/او في اي من ملاحقه ومرفقاته، وبالمواعيد المحددة دون أي تاخير و/او تقصير و/او اهمال ذلك طوال مدة هذا العقد، وعلى ان يقوم بتنفيذ الاعمال والخدمات المشار اليها متقيدا في ذلك  بالحدود والصلاحيات الممنوحة له من المؤجر بموجب هذا العقد ودون أي تجاوز لها تحت طائلة المسؤولية. وبالنيابة عن المؤجر ووفقا لشروط هذا العقد، وعليه فقد اتفق الفريقان على ما يلي:</t>
  </si>
  <si>
    <t xml:space="preserve">(أ) يلتزم الوكيل بالمحافظة على العين المؤجرة بالحالة التي استلمها بها المستاجر  من المؤجر او من المورد بموجب عقد البيع والشراء رقم (.............................)، مع مراعاة الاستخدام الاعتيادي، والاستهلاك، والتغييرات التي يتم اجراؤها باتفاق الطرفين الخطي، اما في حال كان الوكيل هو نفسه المستأجر، فتكون خدمات الصيانة وفقا  لعقد التأجير المشار اليه في مقدمة هذا العقد. (ب) اجراء الفحص اللازم والمناسب للعين المؤجرة بشكل دوري وفقا لما تقتضيه الضرورة لتحديد ما اذا كان هناك حاجة للصيانة او لاصلاح الاعطال. (جـ) بذل الجهد للمحافظة على العين المؤجرة من خلال تقديم خدمات صيانة وتصليح مناسبة (باستثناء تلك الناشئة عن الاستهلاك/الاستخدام الاعتيادي للعين المؤجرة) واستبدال كافة المواد والقطع المفقودة والمتضررة والتالفة بأخرى من نفس النوع والمواصفات بشكل يضمن عدم تأثر حالة او اداء العين المؤجرة او يؤثر عليها سلبا. (د) دفع مقابل جميع اعمال التصليح بما فيها  تكلفة استبدال المواد والقطع للعين المؤجرة على انه  من المفهوم للوكيل انه ليس مفوضا من المؤجر لاثقال العين المؤجرة باي التزامات او رهونات او  اعباء من اي نوع نتيجة لذلك او لاي سبب اخر. (هـ) التاكد من انه يتم فعليا الحفاظ على العين المؤجرة وصيانتها من قبل الاشخاص المؤهلين لذلك والمرخص لهم اجراء اعمال الصيانة.(و) التحقق من حفظ سجلات دقيقة ومحدثة لكافة اعمال الصيانة المنفذة على العين المؤجرة مع وجوب تزويد المؤجر بها او نسخ عنها عند الطلب. </t>
  </si>
  <si>
    <t xml:space="preserve">يكون الوكيل وطوال مدة التاجير المتفق عليها في عقد التاجير المشار اليه ملزما بترخيص العين المؤجرة ودفع كافة الضرائب والرسوم عنها، وكافة النفقات المترتبة على المؤجر بصفته مالكا للعين المؤجرة، بما في ذلك، وعلى سبيل المثال وليس على سبيل الحصر، رسوم التسجيل والترخيص وتجديد الترخيص وتجديد بوالص التأمين مع حقه بالرجوع على المؤجر بقيمة هذه الرسوم والنفقات بموجب ايصالات وفواتير رسمية. </t>
  </si>
  <si>
    <t>4.4.1 من المتفق عليه بين فريقي هذا العقد بان على الوكيل في حال حدوث أية اعطال/ اضرار للعين المؤجرة  ان يقوم باشعار المؤجر خطيا وبصورة فورية بحدوث ذلك العطل / الضرر، مع بيان طبيعة العطل/ الضرر وذلك بموجب تقرير فني شامل،  مع بيان حجم الخسائر والاضرار التي  حصلت وتكلفة اصلاح العين المؤجرة المتضررة.    4.4.2  في حال تم حفظ  بوالص التأمين لدى  الوكيل فان الوكيل في هذه الحالة يكون ملزما بمطالبة شركة التامين بالتعويض عن الضرر على وجه السرعة وفقا لشروط واحكام بوالص التأمين ذات الصلة والخاصة بالعين المؤجرة، على انه من المفهوم للوكيل بانه لا يحق له باي حال من الاحوال التوصل الى اية تسوية او مصالحة بخصوص هذه المطالبة /التعويضات دون الحصول على موافقة المؤجر الخطية المسبقة تحت طائلة المسؤولية القانونية والمالية، ولهذا الغرض فان الوكيل يتعهد ويلتزم بصورة نهائية وقطعية وغير قابلة للنقض او الرجوع، انه وفي حال تم دفع اي مبالغ من قبل المؤمن/ شركة التامين او اي جهة اخرى  الى الوكيل ناشئة عن المطالبة بالتعويض عن الأضرار، فان من المفهوم للوكيل انه يتسلم هذه التعويضات بالنيابة عن المؤجر ولصالحه، ويتعهد باعادة هذه المبالغ للمؤجر او التصرف فيها وفقا لتعليمات المؤجر الخطية و بالطريقة التي يحددها المؤجر بارادته المنفردة. 4.4.3 ان الوكيل يقوم بتعويض المؤجر فورا عن كافة الاضرار التي تلحق بالعين المؤجرة اذا لم تكن هذه الاضرار مغطاة بموجب بوالص التأمين، كما يكون ملزما بتعويض المؤجر عن أية اضرار يتكبدها بسبب اخلال / تقصير / اهمال الوكيل / امتناعه عن تامين العين المؤجرة او  تجديد بوالص التأمين. او عدم تامين العين المؤجرة بالصورة اللازمة والكافية والتي تغطي الاضرار بالصورة الكافية، او في حال رفض المؤمن/ شركة التامين دفع مبلغ التعويض بسبب اهمال او تقصير الوكيل او اخلاله بشروط بوالص التامين.</t>
  </si>
  <si>
    <t>14.2. أن يقوم بالرجوع على المورد مباشرة بخصوص أي إدعاءات ناشئة عن إخلال المورد بمواصفات العين المؤجرة  وفقاً لعقد التوريد وملاحقه، كما يحق للمستأجر الرجوع على المورد بأي حقوق ناشئة عن وثيقة ضمان العين المؤجرة ( الكفالة) مع مراعاة المدة المحددة  في  وثيقة الضمان/ الكفالة  (مدة الكفالة)، ومع مراعاة القوانين السارية في فلسطين بهذا الشان.</t>
  </si>
  <si>
    <r>
      <t xml:space="preserve">2.3 </t>
    </r>
    <r>
      <rPr>
        <sz val="12"/>
        <color rgb="FF000000"/>
        <rFont val="Times New Roman"/>
        <family val="1"/>
      </rPr>
      <t>اينما وردت كلمة اي بنود او مواد في هذا العقد فان المقصود بها بنود/ مواد هذا العقد.</t>
    </r>
    <r>
      <rPr>
        <b/>
        <sz val="12"/>
        <color rgb="FF000000"/>
        <rFont val="Times New Roman"/>
        <family val="1"/>
      </rPr>
      <t xml:space="preserve"> </t>
    </r>
  </si>
  <si>
    <r>
      <t>5.1</t>
    </r>
    <r>
      <rPr>
        <sz val="12"/>
        <color rgb="FF000000"/>
        <rFont val="Times New Roman"/>
        <family val="1"/>
      </rPr>
      <t xml:space="preserve"> مقابل التزام الوكيل باعمال الوكالة المقررة في احكام في هذا العقد وفقا للشروط والاحكام المبين فيه ودون اي اخلال او تقصير او اهمال،  وشريطة عدم اخلال الوكيل باحكام وشروط هذا العقد، ومع مراعاة احكام البنود ( 4.2 ) و(4.3) اعلاه، فان المؤجر يتعهد بدفع النفقات الفعلية التي تكبدها الوكيل في سبيل تأدية الخدمة شريطة ان يكون دفعها واجبا على الموكل وفقا لشروط هذا العقد.</t>
    </r>
  </si>
  <si>
    <t xml:space="preserve">(ب) فسخ / انهاء هذا العقد، او الغاء التوكيل الممنوح للوكيل بموجب هذا العقد مع بقاء عقد التاجير نافذا، وذلك فور انقضاء المهلة المحددة بالاشعار المبين اعلاه، وذلك بارداة المؤجر المنفردة ودون الحاجة للجوء للقضاء. </t>
  </si>
  <si>
    <t>3- كما انه من حق المؤجر ودون الاجحاف باي من حقوقه الاخرى المنصوص عليها في هذا البند او اي من بنود هذا العقد في حال اخفق الوكيل بتنفيذ التزاماته بتقديم الخدمات موضوع  ذا العقد، ان يقوم بتنفيذ التزامات الوكيل بنفسه او بواسطة غيره، وفي هذه الحالة يكون الوكيل ملزماً بتعويض المؤجر عن اية اضرار او نفقات  فعلية تكبدها المؤجر كنتيجة لأداء تلك الالتزامات بما فيه اي مصاريف او نفقات تكبدها المؤجر نتيجة لذلك.</t>
  </si>
  <si>
    <t>ان الحقوق والتعويضات المنصوص عليها في هذا العقد تعتبر جزءا من حقوق المؤجر الاخرى المنصوص عليها في القوانين السارية وغيرها من الوثائق الاخرى التي يكون كل من الوكيل والمؤجر أطراف فيها وبأية صفة قانونية كانت.</t>
  </si>
  <si>
    <r>
      <t xml:space="preserve">7.2 </t>
    </r>
    <r>
      <rPr>
        <sz val="12"/>
        <color rgb="FF000000"/>
        <rFont val="Times New Roman"/>
        <family val="1"/>
      </rPr>
      <t xml:space="preserve">من المتفق عليه بين فريقي هذا العقد بان احكام المادة (6) من هذا العقد بكافة بنوده سوف تظل  سارية المفعول ونافذة  وملزمة للاطراف </t>
    </r>
  </si>
  <si>
    <t>حتى بعد انهاء / انتهاء هذا العقد او اي من الوثائق الاخرى والاتفاقيات والعقود المتعلقة به او الناشئة عنه.</t>
  </si>
  <si>
    <t>2. من المفهوم لفريقي هذا العقد بان تنازل المؤجر او تاخره في المطالبة او المباشرة  باي من حقوقه او صلاحياته الناشئة عن هذا العقد، بما فيها حقوقه المتعلقة بالتعويض،  لا يعتبر تخليا او تنازلا عن تلك الحقوق او الصلاحيات، ولا يخل بحق المؤجر بممارسة هذا الحق او الصلاحية لاحقا، وان التطبيق الجزئي لأي حق أو صلاحية من قبل المؤجر لا يعتبر تخليا او تنازلا عن هذا الحق باي حال من الاحوال.</t>
  </si>
  <si>
    <t xml:space="preserve">4. في حال اعتبر أي  شرط من شروط هذا العقد في أي وقت باطلا وفقا لاحكام القانون، فان ذلك ليس من شانه ان يبطل هذا العقد، حيث يسقط الشرط الباطل، وتبقى باقي احكام وشروط العقد نافذة. </t>
  </si>
  <si>
    <t xml:space="preserve">10.6.2 يوافق الوكيل بشكل قطعي ولا رجعة عنه على صلاحية محاكم مدينة رام الله او المحاكم التي يحددها الموكل بارادته المنفردة سواء داخل فلسطين او خارجها  في نظر وفصل أية دعاوى او منازعات ناشئة عن هذا العقد. </t>
  </si>
  <si>
    <t>بغض النظر عن أي  شرط / حكم ورد في  عقد/ عقود / وثائق الإجارة، فان من المفهوم للوكيل انه وفي حال  كان  الوكيل طرفا بعقد التأجير، فانه يقر ويفوض المؤجر بموجب هذا العقد لاجراء التقاص بين اية التزامات مستحقة على المؤجر في مواجهة الوكيل، بما في ذلك التزام المؤجر بدفع بدل نفقات الخدمة أو أية مبالغ أخرى مستحقة الدفع للوكيل بموجب هذا العقد، وبين اي التزامات مستحقة على الوكيل تجاه المؤجر بما في ذلك الدفعات التاجيرية أو اي مبالغ اخرى مستحقة الدفع على الوكيل للمؤجر بموجب عقد التأجير أو بموجب اي اتفاق / اتفاقات / تفاهمات اخرى بين المؤجر والوكيل.</t>
  </si>
  <si>
    <t>وبالمقابل فانه من المفهوم  للوكيل بانه لا يحق له باي حال من الاحوال  اجراء التقاص بين اي التزامات للوكيل بذمة الموكل /المؤجر بموجب هذا العقد وبين اي التزامات اخرى  للمؤجر بذمة  الوكيل بموجب هذا العقد أو أي عقد آخر بين المؤجر والوكيل الا بعد الحصول على موافقة المؤجر الخطية المسبقة.</t>
  </si>
  <si>
    <t>(أ) ان يقوم المؤجر بالافصاح عن اية معلومات متعلقة بالوكيل أو بهذا العقد او بخصوص اداء الوكيل للواجبات/الالتزامات الموكلة اليه وذلك الى مكتب الاستعلام الائتماني. (ب) تزويد مكتب الاستعلام الائتماني من قبل المؤجر بتقارير الائتمان الخاصة والمتعلقة بالوكيل وبالمعلومات المتعلقة باداء الفريقين لالتزاماتهم.</t>
  </si>
  <si>
    <t>(أ) للمدققين والمستشارين القانونيين وغيرهم من المستشارين المهنيين الخاصين بالمؤجر؛ (ب) لاي طرف ثالث في حال تم  احالة او  نقل حقوق المؤجر والتزاماته ضمن هذا العقد للغير / لاي لطرف الثالث. (ج) لأية سلطة حكومية تابعة لاي دولة أجنبية، والتي لها سلطة الاشراف والرقابة على المؤجر وشريكه/ شركائه، ولاي سلطة حكومية  او جهة رقابية لها سلطة الاشراف والرقابة على المؤجر وشركاءه في فلسطين وذلك لغايات امتثال المؤجر وشريكه/ شركاؤه لمتطلبات القوانين والتعليمات المطبقة في فلسطين. (هـ) لاي محكمة فلسطينية او جهة قضائية مختصة.( و ) لمركز ادارة المؤجر او لفروعه في فلسطين او خارجها.</t>
  </si>
  <si>
    <t>2. وعليه فإن المستأجر بموجب هذا السند يتعهد بشراء العين المؤجرة استناداً إلى عقد التأجير.</t>
  </si>
  <si>
    <t xml:space="preserve">4. يكون للمصطلحات المعرفة في عقد التأجير نفس المعنى الوارد في هذا العقد  اينما وردت في هذا السند ويكون للمصطلحات الاضافية التالية والمستخدمة في هذا السند المعاني التالية: </t>
  </si>
  <si>
    <r>
      <t>إلى: شركة الإجارة الفلسطينية</t>
    </r>
    <r>
      <rPr>
        <sz val="14"/>
        <color theme="1"/>
        <rFont val="Simplified Arabic"/>
        <family val="1"/>
      </rPr>
      <t xml:space="preserve"> ومقرها الرئيس الكائن والمسجل في المصايف الإرسال/ رام الله، دولة فلسطين والمشار اليها فيما يلي بـ </t>
    </r>
    <r>
      <rPr>
        <b/>
        <sz val="14"/>
        <color theme="1"/>
        <rFont val="Simplified Arabic"/>
        <family val="1"/>
      </rPr>
      <t>("المؤجر")؛</t>
    </r>
  </si>
  <si>
    <r>
      <t xml:space="preserve">(والمشار اليها في ما يأتي بـ </t>
    </r>
    <r>
      <rPr>
        <b/>
        <sz val="14"/>
        <color theme="1"/>
        <rFont val="Simplified Arabic"/>
        <family val="1"/>
      </rPr>
      <t>"المستأجر"</t>
    </r>
    <r>
      <rPr>
        <sz val="14"/>
        <color theme="1"/>
        <rFont val="Simplified Arabic"/>
        <family val="1"/>
      </rPr>
      <t>).</t>
    </r>
  </si>
  <si>
    <r>
      <t>3. كما المستأجر يقر بموجب هذا السند بحق المؤجر ( ودون أي إلتزام عليه )- وبعد وقوع أي من الحالات أو الظروف التي تشكل حالات تعثرا أو اخلالاً بعقد التأجير من قبل المستأجر أو إنهاء له حسب المادة  (26) من عقد التأجير  – اصدار إشعار/إخطار للمستأجر لتنفيذ إلتزامه بشراء العين المؤجرة مبينا في الإشعار / الإخطار المذكور قيمة مبلغ الإنهاء،  والتاريخ الذي يتوجب على المستأجر فيه دفع ثمن العين المؤجرة للمؤجر،  ويطلب من المستأجر تنفيذ إلتزامه  بشراء العين المؤجرة سنداً لتعهده بالشراء وفقا لأحكام هذا السند،  ويستثنى من هذا الحكم حالة حدوث خسارة كلية للعين المؤجرة بسبب هلاكها كليا</t>
    </r>
    <r>
      <rPr>
        <sz val="14"/>
        <color rgb="FFFF0000"/>
        <rFont val="Simplified Arabic"/>
        <family val="1"/>
      </rPr>
      <t xml:space="preserve"> </t>
    </r>
    <r>
      <rPr>
        <sz val="14"/>
        <color theme="1"/>
        <rFont val="Simplified Arabic"/>
        <family val="1"/>
      </rPr>
      <t>بقوة قاهرة أو دون تعد أو تقصير من قبل المستأجر.</t>
    </r>
  </si>
  <si>
    <r>
      <t xml:space="preserve">4.1 مبلغ الإنهاء </t>
    </r>
    <r>
      <rPr>
        <sz val="14"/>
        <color theme="1"/>
        <rFont val="Simplified Arabic"/>
        <family val="1"/>
      </rPr>
      <t>ويعني</t>
    </r>
    <r>
      <rPr>
        <b/>
        <sz val="14"/>
        <color theme="1"/>
        <rFont val="Simplified Arabic"/>
        <family val="1"/>
      </rPr>
      <t xml:space="preserve"> </t>
    </r>
    <r>
      <rPr>
        <sz val="14"/>
        <color theme="1"/>
        <rFont val="Simplified Arabic"/>
        <family val="1"/>
      </rPr>
      <t>اجمالي ما يلي:</t>
    </r>
  </si>
  <si>
    <r>
      <t xml:space="preserve">4.2 </t>
    </r>
    <r>
      <rPr>
        <b/>
        <sz val="14"/>
        <color rgb="FF000000"/>
        <rFont val="Simplified Arabic"/>
        <family val="1"/>
      </rPr>
      <t>إشعار تنفيذ الشراء</t>
    </r>
    <r>
      <rPr>
        <sz val="14"/>
        <color rgb="FF000000"/>
        <rFont val="Simplified Arabic"/>
        <family val="1"/>
      </rPr>
      <t xml:space="preserve"> والذي يعني الإشعار المرسل من قبل المؤجر للمستأجر والذي يطالب بموجبه   المستأجر بدفع مبلغ الإنهاء بتاريخ دفعة الشراء والذي فيه يتوجب نقل حقوق ملكية العين المؤجرة للمستأجر وفقاً لسند التعهد بالشراء.</t>
    </r>
  </si>
  <si>
    <r>
      <t xml:space="preserve">4.3. </t>
    </r>
    <r>
      <rPr>
        <b/>
        <sz val="14"/>
        <color rgb="FF000000"/>
        <rFont val="Simplified Arabic"/>
        <family val="1"/>
      </rPr>
      <t>تاريخ دفعة الشراء</t>
    </r>
    <r>
      <rPr>
        <sz val="14"/>
        <color rgb="FF000000"/>
        <rFont val="Simplified Arabic"/>
        <family val="1"/>
      </rPr>
      <t xml:space="preserve"> والذي يعني التاريخ المحدد في إشعار تنفيذ الشراء والذي هو تاريخ إستحقاق دفع مبلغ الإنهاء.  </t>
    </r>
  </si>
  <si>
    <r>
      <t>5. يوافق المستأجر بموجب هذا السند ويتعهد بما يلي:</t>
    </r>
    <r>
      <rPr>
        <b/>
        <u/>
        <sz val="14"/>
        <color theme="1"/>
        <rFont val="Simplified Arabic"/>
        <family val="1"/>
      </rPr>
      <t xml:space="preserve"> </t>
    </r>
  </si>
  <si>
    <r>
      <t>(1</t>
    </r>
    <r>
      <rPr>
        <b/>
        <sz val="16"/>
        <color rgb="FF000000"/>
        <rFont val="Simplified Arabic"/>
        <family val="1"/>
      </rPr>
      <t xml:space="preserve">) الفريق الأول </t>
    </r>
    <r>
      <rPr>
        <b/>
        <sz val="16"/>
        <color theme="1"/>
        <rFont val="Simplified Arabic"/>
        <family val="1"/>
      </rPr>
      <t>شركة الإجارة الفلسطينية</t>
    </r>
    <r>
      <rPr>
        <sz val="16"/>
        <color theme="1"/>
        <rFont val="Simplified Arabic"/>
        <family val="1"/>
      </rPr>
      <t xml:space="preserve"> والمسجلة تحت الرقم </t>
    </r>
    <r>
      <rPr>
        <b/>
        <sz val="16"/>
        <color theme="1"/>
        <rFont val="Simplified Arabic"/>
        <family val="1"/>
      </rPr>
      <t xml:space="preserve"> (562528679)</t>
    </r>
    <r>
      <rPr>
        <sz val="16"/>
        <color theme="1"/>
        <rFont val="Simplified Arabic"/>
        <family val="1"/>
      </rPr>
      <t>، وعنوانها لغايات التبليغ المصايف الإرسال/ رام الله ، دولة فلسطين والمشار إليها فيما يلي في هذا العقد بـ (</t>
    </r>
    <r>
      <rPr>
        <b/>
        <sz val="16"/>
        <color theme="1"/>
        <rFont val="Simplified Arabic"/>
        <family val="1"/>
      </rPr>
      <t>المؤجر</t>
    </r>
    <r>
      <rPr>
        <sz val="16"/>
        <color theme="1"/>
        <rFont val="Simplified Arabic"/>
        <family val="1"/>
      </rPr>
      <t>).</t>
    </r>
  </si>
  <si>
    <r>
      <t>(</t>
    </r>
    <r>
      <rPr>
        <sz val="16"/>
        <color rgb="FF000000"/>
        <rFont val="Simplified Arabic"/>
        <family val="1"/>
      </rPr>
      <t>2</t>
    </r>
    <r>
      <rPr>
        <sz val="16"/>
        <color theme="1"/>
        <rFont val="Simplified Arabic"/>
        <family val="1"/>
      </rPr>
      <t xml:space="preserve">) </t>
    </r>
    <r>
      <rPr>
        <b/>
        <sz val="16"/>
        <color theme="1"/>
        <rFont val="Simplified Arabic"/>
        <family val="1"/>
      </rPr>
      <t>الفريق الثاني</t>
    </r>
  </si>
  <si>
    <r>
      <t xml:space="preserve"> (والمشار إليهم مجتمعين فيما يأتي بـ "</t>
    </r>
    <r>
      <rPr>
        <b/>
        <sz val="16"/>
        <color rgb="FF000000"/>
        <rFont val="Simplified Arabic"/>
        <family val="1"/>
      </rPr>
      <t>الأطراف</t>
    </r>
    <r>
      <rPr>
        <sz val="16"/>
        <color rgb="FF000000"/>
        <rFont val="Simplified Arabic"/>
        <family val="1"/>
      </rPr>
      <t>")</t>
    </r>
  </si>
  <si>
    <r>
      <t>(أ) لقد تم إبرام هذه الاتفاقية سنداً لعقد التأجير المؤرخ في البند كما هو مذكور في البند 1.2 وحامل رقم مرجعي كما هو مذكور في البند 1.1 في الجدول اعلاه والمشار اليه لاحقا بـ ("</t>
    </r>
    <r>
      <rPr>
        <b/>
        <sz val="16"/>
        <color rgb="FF000000"/>
        <rFont val="Simplified Arabic"/>
        <family val="1"/>
      </rPr>
      <t>عقد التأجير</t>
    </r>
    <r>
      <rPr>
        <sz val="16"/>
        <color rgb="FF000000"/>
        <rFont val="Simplified Arabic"/>
        <family val="1"/>
      </rPr>
      <t>")، والمبرم بين الأطراف.</t>
    </r>
  </si>
  <si>
    <r>
      <t>وقع</t>
    </r>
    <r>
      <rPr>
        <sz val="16"/>
        <color rgb="FF000000"/>
        <rFont val="Simplified Arabic"/>
        <family val="1"/>
      </rPr>
      <t xml:space="preserve"> من قبل الأطراف أو ممثليهم المرخص لهم حسب الأصول</t>
    </r>
  </si>
  <si>
    <t>(أ) عدم التزام الوكيل بالقيام باعمال الصيانة وفقا لاحكام المادة (4.1) من هذا العقد؛ (ب) في حال لم يقم بتجديد الترخيص او دفع الضرائب والرسوم المترتبة عن العين المؤجرة في المواعيد اللازمة. (ت) اذا كان الوكيل ملزما بحفظ بوالص التامين ولم يلتزم الوكيل بالمحافظة على بوالص التامين سارية المفعول و/او عدم التقيد بشروط البوليصة / بوالص التامين وفقا لاحكام المادة/البند (4.2) من هذا العقد. (ث) في حال اخل الوكيل بتنفيذ اي من التزاماته وفقا لاحكام هذا العقد؛ (ج) في حال وقوع اي من حالات الاخلال المنصوص عليها في عقد التاجير  والتي يكون المستأجر فيها مسؤولاً عنها (في حال ان المستأجر وكيلا)، وللغاية المبينة اعلاه فان اي عمل لن يعتبر كحادث اخلال ولن يكون خاضعا للتبعات المبينة في الفقرة (2) من هذا البند اذا كان حادث الاخلال (فيما عدا الاخلال الذي ينشأ عنه هلاك العين كليا) قابلا للاصلاح وان يكون قد تم اصلاحه فعليا خلال (10) عشرة ايام من تاريخ وقوعه.</t>
  </si>
  <si>
    <t>(ب) أي قسط إيجار متغير مستحق وغير مدفوع إن وجد، بالإضافة إلى،(ج) أي قسط إيجار اضافي مستحق وغير مدفوع إن وجد؛ بالإضافة إلى، (د) القيمة المساوية لأي مبلغ واجب الدفع للمورد من قبل المؤجر حسب عقد وكالة الخدمة وغير المغطى من خلال  قسط الإيجار الإضافي؛ بالإضافة إلى(ه) كافة المبالغ الأخرى المستحقة والواجبة الدفع من قبل المستأجر حسب عقد التأجير و/أو وثائق التأجير مع جميع التكاليف الفعلية التي تكبدها المؤجر نتيجة ممارسة حقوقه بموجب هذا السند / التعهد بالشراء واي مبالغ اخرى قد تطرأ وتكبدها المؤجر خلال مدة عقد التأجير.</t>
  </si>
  <si>
    <t>(أ) أن يلتزم بتنفيذ طلب المؤجر المبين في إشعار التنفيذ وذلك بشراء العين المؤجرة، وذلك حال تم إصدار مثل ذلك الإشعار من قبل المؤجر، وأن يدفع للمؤجر مبلغ الإنهاء بالكامل بتاريخ دفعة الشراء.</t>
  </si>
  <si>
    <t>توقيعه: ........................</t>
  </si>
  <si>
    <t>1. كما انني اقر انه وفي حال عدم التزامي و/او امتناعي و/او تاخري عن السداد في المواعيد المتفق عليها وفقا لجدول السداد و/او العقود الاصلية المشار اليها اعلاه بما فيها عقد التاجير – الاجارة المنتهية بالتمليك – فان من حق شركة الاجارة الفلسطينية في هذه الحالة استرداد العين المؤجرة فورا ودون الحاجة الى اشعار او انذار او اللجوء للقضاء والتصرف بالعين الموصوفة اعلاه كافة التصرفات القانونية تصرف المالك في ملكه بما فيه بيع العين المشار اليها لمن تشاء وبالثمن الذي تراه مناسبا ذلك دون الحاجة للحصول على موافقتي المسبقة على ذلك كما يحق لها استخدام ثمن العين  لتسديد كافة التزاماتي تجاه الشركة، ولهذه الغاية فان توقيعي على هذا السند بمثابة تفويض نهائي وقطعي مني للشركة المذكورة للتصرف بالعين الموصوفة اعلاه على النحو المشار اليه في حال رغبت ببيع العين هذا دون الاجحاف باية حقوق اخرى للشركة متفق عليها من خلال شروط واحكام العقود الاصلية المذكورة في حال اخلالي لاي من البنود و/أو الاحكام و/او الالتزامات المترتبة بذمتي تجاه الشركة المذكورة بالاضافة الى حقها بالرجوع علي باية مطالبات / مبالغ / تعويضات / ادعاءات / دعاوى بهذا الخصوص.</t>
  </si>
  <si>
    <t>2. اقر بموجب هذا السند بانني املك الصلاحية للتوقيع على هذا السند وانني اتحمل كامل المسؤولية في حال ثبت خلاف ذلك في مواجهة الشركة و/او الغير.</t>
  </si>
  <si>
    <t>3. أن هذا السند قطعي ونهائي وغير قابل للرجوع والنقض وملزم لي ولخلفائي من بعدي.</t>
  </si>
  <si>
    <t>4. أنني أسقط حقي بالادعاء بيمين كذب الإقرار و/أو الدفع بعدم القبول و/أو الوفاء و/أو التمسك بأي دفع شكلي و/أو موضوعي حول ما جاء في هذا السند.</t>
  </si>
  <si>
    <r>
      <t>4.4 في جميع الأحوال فان من المتفق عليه بين أطراف هذا العقد بأن من حق المستأجر مطالبة المورد بالتعويض عن أي عيوب في العين موضوع هذا العقد بعد تسلم هذه العين على أن يكون إثبات هذه العيوب سابقاً على تاريخ إنتهاء الكفالة أو قبل إستلام العين وفقاً لشروط هذا العقد وملاحقه</t>
    </r>
    <r>
      <rPr>
        <sz val="14"/>
        <color rgb="FF000000"/>
        <rFont val="Times New Roman"/>
        <family val="1"/>
      </rPr>
      <t>.</t>
    </r>
  </si>
  <si>
    <t xml:space="preserve">2.1. يلتزم الفريق الأول بالمباشرة في أعمال التوريد إعتباراً من تاريخ توقيع هذا العقد ويتعهد ويلتزم بإنجاز وإتمام كافة أعمال التوريد للعين موضوع هذا العقد في موعد أقصاه يومين (2) يوماً من تاريخ توقيع هذا العقد.2.2 يلتزم المورد/ الفريق الأول ويتعهد بتسليم العين موضوع هذا العقد مباشرة إلى المستأجر أو إلى وكيل المستأجر القانوني والذي يتصرف بموجب وكالة عدلية أصولية صادرة عن المستأجر. 2.3 من المتفق عليه بين فريقي هذا العقد بأن إستخدام وتشغيل العين محل هذا العقد سوف يكون من قبل المستأجر المذكور في مقدمة هذا العقد وعلى مسؤوليته ونفقته الخاصة وأن المشتري/ الفريق الثاني لن يتحمل أي مسؤولية قد تنشأ عن استخدام العين بأي شكل من الأشكال وفي أي وقت من الأوقات.2.4. من المتفق عليه بين الفريقين أنه ولدى قيام المورد بتسليم العين على النحو المبين أعلاه فإنه يتوجب على المورد أن يتيح الفرصة للمستأجر بأن يقوم بمعاينة العين موضوع هذا العقد في نفس موقع المورد أو موقع التسليم المتفق عليه للتحقق من مطابقتها للشروط والمواصفات المتفق عليها في هذا العقد و/أو أي من ملاحقه  والتأكد من خلوها من أي عيوب لكي يتم قبولها من قبل المستأجر حسب الأصول ووفقاً لشروط هذا العقد. </t>
  </si>
  <si>
    <r>
      <t xml:space="preserve">2.5 </t>
    </r>
    <r>
      <rPr>
        <b/>
        <sz val="14"/>
        <color rgb="FF222222"/>
        <rFont val="Times New Roman"/>
        <family val="1"/>
      </rPr>
      <t>قبول العين:</t>
    </r>
  </si>
  <si>
    <r>
      <t xml:space="preserve">أ. قيام المستأجر بإبلاغ المؤجر أو المورد خطياً بتطابق مواصفات العين المؤجرة مع </t>
    </r>
    <r>
      <rPr>
        <sz val="14"/>
        <color theme="1"/>
        <rFont val="Times New Roman"/>
        <family val="1"/>
      </rPr>
      <t>الجدول رقم 1-المواصفات الكمية والنوعية للعين(البند رقم 3)</t>
    </r>
    <r>
      <rPr>
        <sz val="14"/>
        <color rgb="FF222222"/>
        <rFont val="Times New Roman"/>
        <family val="1"/>
      </rPr>
      <t>. ب. في حال لم يرفض المستأجر العين المؤجرة بعد معاينتها على النحو المبين أعلاه.جـ. إستعمال المستأجر للعين بصورة فعلية. </t>
    </r>
  </si>
  <si>
    <t>2.6 من المتفق عليه بين فريقي هذا العقد بأنه سيتم تسليم العين موضوع هذا العقد للمستأجر بموجب إتفاقية  التسليم والقبول الملحق نموذج عنها بهذا العقد بإعتبارها جزء لا تتجزأ منه، ولهذا الغرض فإنه من المفهوم لأطراف هذا العقد بأنه يجب أن يتم تنفيذ إتفاقية التسليم والقبول من قبل المفوضين القانونيين عن أطراف هذا العقد بالإضافة إلى المستأجر و/أو وكلائهم القانونيين المفوضين حسب الأصول والقانون، بحيث يتسلم كل طرف من الأطرف المذكورة أعلاه نسخة أصلية عن إتفاقية القبول والتسليم، كما يتم توقيع نسخة أصلية أخرى لغايات تسجيلها لدى الجهات الرقابية في حال تطلب الأمر ذلك.</t>
  </si>
  <si>
    <t>· فاتورة ضريبية أصلية مختومة من قبل دائرة ضريبة القيمة المضافه؛ شهادة خصم من المصدر سارية المفعول؛شهادة ملكية العين، إن وجدت؛نسخة واحدة عن المفاتيح تسلم للمشتري/الفريق الثاني، في حال  كانت العين مركبة؛أية وثيقة /وثائق أخرى يقوم المشتري/الفريق الثاني بطلبها.</t>
  </si>
  <si>
    <r>
      <t xml:space="preserve">2.12.1. وجود إختلاف كبير بين سعر العين المذكور في الإقرار الجمركي والسعر المذكور في العقد الحالي؛ 2.12.2  إذا كان المشتري يملك معلومات مؤكدة بأن العين قد تم إستيرادها للمناطق الفلسطينية من بعد سريان  هذا العقد  من قبل أي  شخص /جهة أخرى (بخلاف المورد) من أجل بيعها للمشتري؛ 2.12.3  في حال كان المشتري/ المستأجر يتمتع بمزايا أو إعفاءات من </t>
    </r>
    <r>
      <rPr>
        <sz val="14"/>
        <color rgb="FF222222"/>
        <rFont val="Times New Roman"/>
        <family val="1"/>
      </rPr>
      <t xml:space="preserve">الرسوم الجمركية أو ضريبة القيمة المضافة أو الضرائب/ المكوس والرسوم الأخرى وفقاً للتشريعات النافذة، </t>
    </r>
    <r>
      <rPr>
        <sz val="14"/>
        <color theme="1"/>
        <rFont val="Times New Roman"/>
        <family val="1"/>
      </rPr>
      <t xml:space="preserve"> و/أو تحقق له أي دفعات ضريبية غير متوقعة من أي جهة حكومية حسب القوانين والتشريعات النافذة في دولة فلسطين وذات علاقة بالعين المشتراة موضوع هذا العقد</t>
    </r>
    <r>
      <rPr>
        <sz val="14"/>
        <color rgb="FF222222"/>
        <rFont val="Times New Roman"/>
        <family val="1"/>
      </rPr>
      <t xml:space="preserve">. </t>
    </r>
    <r>
      <rPr>
        <sz val="14"/>
        <color theme="1"/>
        <rFont val="Times New Roman"/>
        <family val="1"/>
      </rPr>
      <t>2.12.4 في حال وجود دليل على وجود فارق جوهري بين سعر العين المستوردة بموجب هذا العقد كما هي موضحة في الإقرار الجمركي وبين سعر الشراء الفعلي.2.12.5 غيرها من الحالات المشابهة.</t>
    </r>
  </si>
  <si>
    <t>2.14 مع مراعاة ما جاء أعلاه فإنه من المفهوم للمورد بأنه وفي حال لم يقم بتسليم العين موضوع هذا العقد والمنوي تأجيرها، أو حال قام بتسليمها بصورة جزئية أو متأخرة، أو في حال لم تكن العين مطابقة  لعقد وعد الإستئجار المقترن بوعد الشراء والتأجير، فإن من حق المشتري أن يلزم المورد بتسليمه توريدات/ عين مطابقة، ودون الإخلال بحقه في المطالبة بأية حقوق أخرى أو تعويضات إستنادا إلى القانون.</t>
  </si>
  <si>
    <r>
      <t>3.1. من المتفق عليه بين الفريقين بأن السعر الإجمالي للتوريدات موضوع هذا العقد كما هو مذكور الجدول رقم 1-المواصفات الكمية والنوعية للعين</t>
    </r>
    <r>
      <rPr>
        <b/>
        <sz val="14"/>
        <color theme="1"/>
        <rFont val="Times New Roman"/>
        <family val="1"/>
      </rPr>
      <t xml:space="preserve"> </t>
    </r>
    <r>
      <rPr>
        <sz val="14"/>
        <color theme="1"/>
        <rFont val="Times New Roman"/>
        <family val="1"/>
      </rPr>
      <t xml:space="preserve">(البند رقم 4) ادناة ويكون شامل لضريبة القيمة المضافة (المشار إليه هنا بـ </t>
    </r>
    <r>
      <rPr>
        <b/>
        <sz val="14"/>
        <color theme="1"/>
        <rFont val="Times New Roman"/>
        <family val="1"/>
      </rPr>
      <t>"سعر الشراء"</t>
    </r>
    <r>
      <rPr>
        <sz val="14"/>
        <color theme="1"/>
        <rFont val="Times New Roman"/>
        <family val="1"/>
      </rPr>
      <t>) يقوم المشتري بدفعه على النحو الاتي:</t>
    </r>
  </si>
  <si>
    <r>
      <t>5</t>
    </r>
    <r>
      <rPr>
        <b/>
        <sz val="14"/>
        <color theme="1"/>
        <rFont val="Times New Roman"/>
        <family val="1"/>
      </rPr>
      <t>. مسؤولية الاطراف القانونية</t>
    </r>
  </si>
  <si>
    <r>
      <t>6</t>
    </r>
    <r>
      <rPr>
        <b/>
        <sz val="14"/>
        <color theme="1"/>
        <rFont val="Times New Roman"/>
        <family val="1"/>
      </rPr>
      <t>. انهاء العقد</t>
    </r>
  </si>
  <si>
    <r>
      <t>8</t>
    </r>
    <r>
      <rPr>
        <b/>
        <sz val="14"/>
        <color theme="1"/>
        <rFont val="Times New Roman"/>
        <family val="1"/>
      </rPr>
      <t>. القانون الواجب التطبيق وتسوية النزاعات</t>
    </r>
  </si>
  <si>
    <r>
      <t>الفريق الثاني: شركة الإجارة الفلسطينية والمسجلة تحت الرقم (562528679)، وعنوانها لغايات التبليغ شارع المصايف الإرسال/ رام الله، دولة فلسطين بواسطة المفوض بالتوقيع عنها ويشار إليها لاحقا في هذا العقد بـ "الفريق الثاني /المشتري"، حيث</t>
    </r>
    <r>
      <rPr>
        <sz val="14"/>
        <color theme="1"/>
        <rFont val="Times New Roman"/>
        <family val="1"/>
      </rPr>
      <t xml:space="preserve"> أن الفريق الأول شركة تعمل في مجال التجارة والتوريد وغيرها من الأنشطة الأخرى المرتبطة بها، وحيث أن الفريق الثاني شركة تعمل في مجال التأجير والتأجير المنتهي بالتمليك ويرغب بالتعاقد مع الفريق الأول لشراء العين المصوفة في (الجدول رقم 1-المواصفات الكمية والنوعية للعين</t>
    </r>
    <r>
      <rPr>
        <b/>
        <sz val="14"/>
        <color theme="1"/>
        <rFont val="Times New Roman"/>
        <family val="1"/>
      </rPr>
      <t xml:space="preserve"> </t>
    </r>
    <r>
      <rPr>
        <sz val="14"/>
        <color theme="1"/>
        <rFont val="Times New Roman"/>
        <family val="1"/>
      </rPr>
      <t xml:space="preserve">(بند رقم 3 )) والمشار إليها فيما يلي بـ </t>
    </r>
    <r>
      <rPr>
        <b/>
        <sz val="14"/>
        <color theme="1"/>
        <rFont val="Times New Roman"/>
        <family val="1"/>
      </rPr>
      <t>"العين"</t>
    </r>
    <r>
      <rPr>
        <sz val="14"/>
        <color theme="1"/>
        <rFont val="Times New Roman"/>
        <family val="1"/>
      </rPr>
      <t xml:space="preserve"> ليقوم الفريق الثاني بتأجيرها تأجيراً منتهياً بالتمليك للسيد/ السادة المشار إليه فيما يلي بـ "المستأجر"  والمذكور في </t>
    </r>
    <r>
      <rPr>
        <b/>
        <sz val="14"/>
        <color theme="1"/>
        <rFont val="Times New Roman"/>
        <family val="1"/>
      </rPr>
      <t xml:space="preserve"> </t>
    </r>
    <r>
      <rPr>
        <sz val="14"/>
        <color theme="1"/>
        <rFont val="Times New Roman"/>
        <family val="1"/>
      </rPr>
      <t>الجدول رقم1- المواصفات الكمية والنوعية للعين (بند رقم 2) وذلك وفقا للشروط والأحكام المتفق عليها فيما بين المشتري والمستأجر بموجب عقد وعد الإستئجار المقترن بوعد الشراء والتأجير الموقع فيما بينهما بالتاريخ المذكور في (الجدول رقم- 1المواصفات الكمية والنوعية للعين البند (1)) في الجدول الملحق بهذا العقد بإعتباره جزءاً لا يتجزأ منه، وبما أن الفريق الأول أبدى إستعداده التام  لتوفير العين المتعاقد عليها وفقا للشروط والمواصفات المتفق عليها في هذه الاتفاقية وأي من ملاحقها ومرفقاتها بما فيها وصف محددات الكمية والنوعية والمعدات الكاملة وحالة العين والمشار إليها لاحقا بجدول المواصفات الكمية والنوعية للعين والذي يعتبر جزء لا يتجزأ منها، وبما أن كلا الفريقين قد أبدى إستعداده  للتعاقد مع الآخر، فقد تم الاتفاق بين الفريقين على الشروط والأسس والأحكام الآتية:</t>
    </r>
  </si>
  <si>
    <t>Font 12</t>
  </si>
  <si>
    <t>Font 14</t>
  </si>
  <si>
    <r>
      <t>2</t>
    </r>
    <r>
      <rPr>
        <b/>
        <i/>
        <sz val="14"/>
        <color theme="1"/>
        <rFont val="Times New Roman"/>
        <family val="1"/>
      </rPr>
      <t>.</t>
    </r>
    <r>
      <rPr>
        <sz val="14"/>
        <color theme="1"/>
        <rFont val="Times New Roman"/>
        <family val="1"/>
      </rPr>
      <t>10 من المفهوم للفريق الأول في حال رفض/ أمتنع الفريق الأول عن تزويد المشتري و/أو المستأجر بالوثائق والمستندات /المستلزمات و/أو العناصر المحددة  في الفقرة  2.9 أعلاه من هذا البند، فإن من حق المشتري أو المستأجر في هذه الحالة تحديد مهلة زمنية لكي يقوم المورد بتزويده بها، وعلى الرغم مما تقدم أعلاه فأن للمستأجر والمشتري/الفريق الثاني الخيار في حال عدم تسليم الوثائق والمستندات والمستلزمات /العناصر المذكورة أعلاه من قبل المورد حسب الشروط المتفق عليها في هذا العقد وأي من ملاحقه ومرفقاته أو في حال إمتناع المورد/ رفضه/ تأخره في التسليم خلال المهلة المشار إليها أعلاه، أن يعتبر المورد مخلاً بشروط العقد وأن يرفض قبول العين المؤجرة بشرط الحصول على موافقة المشتري، ودون أي تبعات مالية أو قانونية على الفريق الثاني أو المستأجر نتيجة لذلك، على أنه، لن يتم إعتبار هذا الإمتناع من قبل المورد إخلالاً من قبله في حال كان رفض أو إمتناع / إخلال المورد بسبب فعل أو إمتناع المستأجر.</t>
    </r>
  </si>
  <si>
    <r>
      <t>4.3.1. بأن يقوم بالرجوع على المورد مباشرة بخصوص أي إدعاءات ناشئة عن إخلال المورد بمواصفات العين موضوع هذا العقد من حيث الكميات و/أو النوع  و/أو المعدات  و/أو نوعية العين  وفقاً لهذا العقد و/أو ملاحقه ومرفقاته، و يستثنى من ذلك  طلب إلغاء/ إنهاء العقد، حيث أن ذلك مشروط بالحصول على موافقة المشتري الخطية. 4.3.2 كما يحق للمستأجر الرجوع على المورد مباشرة بأي حقوق ناشئة عن وثيقة ضمان العين (الكفالة)، شريطة مراعاة شروط الكفالة ، ومع مراعاة  القوانين والتشريعات السارية في  فلسطين بهذا الشأن، بإستثناء طلب إلغاء/ إنهاء العقد/ الكفالة. 4.3.3 إن ممارسة المستأجر لحقوقه المبينة يجب أن لا تخل أو تمس بحقوق المشتري في الرجوع على المورد في هذه الحالة بأي إدعاءات أو مطالبات نتيجة لذلك . 4.3.4 يضمن المورد للمشتري أن تكون حالة العين جديدة/ ممتازة وجاهزة للإستخدام، وأن تكون متوافقة مع كافة متطلبات معايير المواصفات والجودة الحكومية، والصناعية، ومعايير الشركة المصنعة</t>
    </r>
    <r>
      <rPr>
        <sz val="14"/>
        <color rgb="FF222222"/>
        <rFont val="Times New Roman"/>
        <family val="1"/>
      </rPr>
      <t>.</t>
    </r>
    <r>
      <rPr>
        <sz val="14"/>
        <color theme="1"/>
        <rFont val="Times New Roman"/>
        <family val="1"/>
      </rPr>
      <t xml:space="preserve">4.3.5. أن يزود المورد المشتري بشهادة الضمان / الكفالة على العين. </t>
    </r>
  </si>
  <si>
    <r>
      <t>للاستعمال الرسمي</t>
    </r>
    <r>
      <rPr>
        <sz val="14"/>
        <color theme="1"/>
        <rFont val="Simplified Arabic"/>
        <family val="1"/>
      </rPr>
      <t xml:space="preserve">: </t>
    </r>
  </si>
  <si>
    <r>
      <t>ثانياً:</t>
    </r>
    <r>
      <rPr>
        <sz val="14"/>
        <color theme="1"/>
        <rFont val="Simplified Arabic"/>
        <family val="1"/>
      </rPr>
      <t xml:space="preserve">  تم استيفاء الرسوم كما يلي :  </t>
    </r>
  </si>
  <si>
    <t xml:space="preserve">وصف وخصائص العين المؤجرة: </t>
  </si>
  <si>
    <r>
      <rPr>
        <b/>
        <u/>
        <sz val="16"/>
        <color theme="1"/>
        <rFont val="Simplified Arabic"/>
        <family val="1"/>
      </rPr>
      <t>أولاً: المؤجر</t>
    </r>
    <r>
      <rPr>
        <sz val="16"/>
        <color theme="1"/>
        <rFont val="Simplified Arabic"/>
        <family val="1"/>
      </rPr>
      <t xml:space="preserve"> </t>
    </r>
    <r>
      <rPr>
        <b/>
        <sz val="16"/>
        <color theme="1"/>
        <rFont val="Simplified Arabic"/>
        <family val="1"/>
      </rPr>
      <t>شركة الإجارة الفلسطينية والمسجلة تحت الرقم (562528679)، وعنوانها لغايات التبليغ المصايف الإرسال/ رام الله، دولة فلسطين</t>
    </r>
  </si>
  <si>
    <r>
      <t>رابعا: العين المؤجرة</t>
    </r>
    <r>
      <rPr>
        <b/>
        <sz val="16"/>
        <color theme="1"/>
        <rFont val="Simplified Arabic"/>
        <family val="1"/>
      </rPr>
      <t xml:space="preserve">                              </t>
    </r>
  </si>
  <si>
    <r>
      <t>قيمة القسط</t>
    </r>
    <r>
      <rPr>
        <sz val="16"/>
        <color rgb="FFFFFFFF"/>
        <rFont val="Simplified Arabic"/>
        <family val="1"/>
      </rPr>
      <t>:</t>
    </r>
  </si>
  <si>
    <r>
      <t xml:space="preserve">سابعاً: </t>
    </r>
    <r>
      <rPr>
        <b/>
        <sz val="16"/>
        <color theme="1"/>
        <rFont val="Simplified Arabic"/>
        <family val="1"/>
      </rPr>
      <t>توقيع المؤجر</t>
    </r>
  </si>
  <si>
    <t>اتثبيت التسجيل: …...................................</t>
  </si>
  <si>
    <t>التوقيع: ….....................................................</t>
  </si>
  <si>
    <r>
      <t>أولاً:</t>
    </r>
    <r>
      <rPr>
        <b/>
        <sz val="14"/>
        <color theme="1"/>
        <rFont val="Simplified Arabic"/>
        <family val="1"/>
      </rPr>
      <t xml:space="preserve"> </t>
    </r>
    <r>
      <rPr>
        <sz val="14"/>
        <color theme="1"/>
        <rFont val="Simplified Arabic"/>
        <family val="1"/>
      </rPr>
      <t xml:space="preserve"> رقم العقد: ................................................ </t>
    </r>
  </si>
  <si>
    <t xml:space="preserve">      تاريخ التسجيل: ...........................................</t>
  </si>
  <si>
    <t>المبلغ : ................................................</t>
  </si>
  <si>
    <t xml:space="preserve">رقم الوصل: ................................................ </t>
  </si>
  <si>
    <t>التاريخ: ................................................</t>
  </si>
  <si>
    <t>7. انني اوقع على هذا السند اقرار والتزاما مني بما جاء فيه في هذا اليوم ........................ الموافق              /           /               وانا بكامل الصفات المعتبرة شرعا وقانونا وبكامل الرضا.</t>
  </si>
  <si>
    <t>1-اقر واصرح بانني قمت بتحرير الشيك / الشيكات / الكمبيالة / الكمبيالات الموصوفة اعلاه دون ان يتم تثبيت تاريخ استحقاق عليها ولهذه الغاية فانني افوض السادة شركة الاجارة الفلسطينية بتعبئة تاريخ الاستحقاق بالنيابة عني وفقا لما تراه مناسبا وفي الوقت والتاريخ الذي تشاء دون ادنى مسؤولية على شركة الاجارة الفلسطينية بهذا الخصوص ودون الحاجة الى اشعار او انذار و/ او الحصول على موافقة مني بهذا الخصوص.</t>
  </si>
  <si>
    <t>وانني اوقع على هذا السند التزاما مني واقرارا بما جاء فيه في هذا اليوم الموافق ..................... بتاريخ            /           /              م.</t>
  </si>
  <si>
    <t>التوقيع .................................</t>
  </si>
  <si>
    <t>عدد مرات إبرام العقد:</t>
  </si>
  <si>
    <t xml:space="preserve">دققت التواقيع بحضور </t>
  </si>
  <si>
    <t>• أؤكد لكم وأصرح بأن جميع المعلومات المبينة أعلاه صحيحة وأنا على استعداد لتزويدكم بأية معلومات اضافية عند طلبها.</t>
  </si>
  <si>
    <t>• افوض شركة الإجارة الفلسطينية بالتأكد من هذه المعلومات أو أية معلومات أخرى من أي مصدر كان، والتصريح عنها للجهات الرسمية والقانونية.</t>
  </si>
  <si>
    <t>الاسم: __________________________________________________</t>
  </si>
  <si>
    <t>التوقيع: _________________________________________________</t>
  </si>
  <si>
    <t>رقم الهوية: _______________________________________________</t>
  </si>
  <si>
    <t>توقيع المدين/ المفوض:...............................................</t>
  </si>
  <si>
    <t xml:space="preserve">          التاريخ:…............./…............./…...........</t>
  </si>
  <si>
    <t xml:space="preserve">الإسم:...............................    </t>
  </si>
  <si>
    <t>(ج) وعليه فإنه، وبتاريخ توقيع هذا العقد، فإن كل طرف من أطراف هذا العقد يقر بإلتزامه التزاماً كاملاً بالشروط والأحكام المنصوص عليها في عقد وعد الاستئجار المنتهي بالتمليك المقترن بوعد الشراء والتأجير وغيرها من الإلتزامات والتعهدات التي تم التوقيع عليها من قبل الأطراف.</t>
  </si>
  <si>
    <t>اية تفاصيل اخرى:</t>
  </si>
  <si>
    <t>"تاريخ استحقاق دفع نفقات الخدمة": تعني تاريخ استحقاق  الدفعات التاجيرية طيلة فترة التاجير  والتي سيتم فيها تسليم فواتير تقديم الخدمة وفقا  لجدول الدفعات (ملحق رقم 1 في عقد التأجير) باستثناء مبلغ الخدمة عن المدة التأجيرية الاخيرة حيث يتوجب على الوكيل تزويد المؤجر باية فواتير متعلقة بها فور دفع تلك المصاريف.</t>
  </si>
  <si>
    <r>
      <t>20.5 يجوز للمؤجر إحالة حقوقه ونقل إلتزاماته الناشئة عن هذا العقد للغير، وذلك دون موافقة المستأجر، ولا تعتبر هذه الإحالة أو النقل نافذاً في مواجهة المستأجر إلا من تاريخ إشعاره خطياً بذلك، وفي جميع الأحوال فإن هذا النقل أو الإحالة لن ينتقص من حقوق المستأجر الواردة في هذا العقد ولن يفرض عليه أي إلتزامات جديدة بأي حال من الاحوال</t>
    </r>
    <r>
      <rPr>
        <sz val="12"/>
        <color theme="1"/>
        <rFont val="CG Times"/>
        <family val="1"/>
      </rPr>
      <t>.</t>
    </r>
  </si>
  <si>
    <t>21.2 للغاية المبينة أعلاه فإنه يحق للمؤجر أن يفوض المستأجر أو أي شخص آخر يراه مناسباً للقيام بالتأمين على العين المؤجرة الملقاة على عاتق المؤجر بحيث يكون المستأجر أو الغير وكيلاً ونائباً عن المؤجر للقيام بذلك وفقا للشروط والأحكام المبينة في عقد  توكيل خاص بتقديم خدمة التامين الملحق بهذا العقد بإعتباره جزء لا يتجزأ منه.</t>
  </si>
  <si>
    <t>21.5 يجب على المستأجر وفي أي وقت من الأوقات الإمتناع عن التصرف بشكل يمكن أن يتسبب بإلغاء بوليصة التأمين أو يؤدي إلى الإجحاف بحقوق المؤجر أو زيادة  تكلفة بوليصة التأمين.</t>
  </si>
  <si>
    <t xml:space="preserve">يقر المستأجر بموجب هذه الإتفاقية بأنه قد قام بمعاينة العين المؤجرة الموصوفة أعلاه معاينة تامة وشاملة ونافية للجهالة، وأنه يقر بأن العين المؤجرة في حالة تشغيلية ممتازة، وأنها جاهزة للإستعمال/الإستخدام، وأنها مطابقة للشروط والمواصفات والكميات ونوعية العين المتفق عليها مع المورد (المذكور في البند 3 من الجدول اعلاه) بموجب عقد التوريد، وبالإستناد الى عقد وعد الاستئجار المقترن بوعد الشراء والتأجير، وعقد التأجير وملاحقه وكافة مستندات الإجارة، وأن العين المؤجرة خالية تماما من العيوب الظاهرة  والجوهرية والتي من شأنها أن تؤثر و/أو تحول دون الإنتفاع بالعين المؤجرة، ولهذا الغرض يقر المستأجر بموجب هذه الاتفاقية  أنه قد قام بفحص العين المؤجرة المشار إليها أعلاه والمذكورة مواصفاتها بالعقد التأجير المنتهي بالتمليك، ومعاينتها، وأنه قد قبلها بحالتها التي هي عليها وأنه بموجب هذا السند /هذه الاتفاقية قد وافق على إستلامها من المورد (المذكور في البند رقم 3 من الجدول اعلاه)، وأنه لا يوجد للمستأجر أية مطالبات/ إدعاءات / دعاوى أو مزاعم أو إعتراضات في مواجهة المؤجر أو المورد فيما يتعلق بالعين المؤجرة، وبخلاف ذلك لا يكون المؤجر مسؤولا عن اية ادعاءات /مطالبات / دعاوى تتعلق بعدم مطابقة العين للمواصفات و/او عن اي نقص و/او عيب فيها باي حال من الاحوال وفي اي وقت كان. </t>
  </si>
  <si>
    <r>
      <t>(1</t>
    </r>
    <r>
      <rPr>
        <b/>
        <sz val="16"/>
        <color rgb="FF000000"/>
        <rFont val="Simplified Arabic"/>
        <family val="1"/>
      </rPr>
      <t xml:space="preserve">) الفريق الأول </t>
    </r>
    <r>
      <rPr>
        <b/>
        <sz val="16"/>
        <color theme="1"/>
        <rFont val="Simplified Arabic"/>
        <family val="1"/>
      </rPr>
      <t>شركة الإجارة الفلسطينية</t>
    </r>
    <r>
      <rPr>
        <sz val="16"/>
        <color theme="1"/>
        <rFont val="Simplified Arabic"/>
        <family val="1"/>
      </rPr>
      <t xml:space="preserve"> والمسجلة تحت الرقم</t>
    </r>
    <r>
      <rPr>
        <b/>
        <sz val="16"/>
        <color theme="1"/>
        <rFont val="Simplified Arabic"/>
        <family val="1"/>
      </rPr>
      <t xml:space="preserve"> (562528679)</t>
    </r>
    <r>
      <rPr>
        <sz val="16"/>
        <color theme="1"/>
        <rFont val="Simplified Arabic"/>
        <family val="1"/>
      </rPr>
      <t>، وعنوانها لغايات التبليغ المصايف الإرسال/ رام الله، دولة فلسطين والمشار إليها فيما يلي في هذا العقد بـ (</t>
    </r>
    <r>
      <rPr>
        <b/>
        <sz val="16"/>
        <color theme="1"/>
        <rFont val="Simplified Arabic"/>
        <family val="1"/>
      </rPr>
      <t>المؤجر</t>
    </r>
    <r>
      <rPr>
        <sz val="16"/>
        <color theme="1"/>
        <rFont val="Simplified Arabic"/>
        <family val="1"/>
      </rPr>
      <t>).</t>
    </r>
  </si>
  <si>
    <r>
      <t xml:space="preserve">أ. قيام المستأجر بإبلاغ المؤجر أو المورد خطياً بتطابق مواصفات العين المؤجرة مع </t>
    </r>
    <r>
      <rPr>
        <sz val="14"/>
        <color theme="1"/>
        <rFont val="Times New Roman"/>
        <family val="1"/>
      </rPr>
      <t>الجدول رقم 1- المواصفات الكمية والنوعية للعين (البند رقم 3)</t>
    </r>
    <r>
      <rPr>
        <sz val="14"/>
        <color rgb="FF222222"/>
        <rFont val="Times New Roman"/>
        <family val="1"/>
      </rPr>
      <t>. ب. في حال لم يرفض المستأجر العين المؤجرة بعد معاينتها على النحو المبين أعلاه.جـ. إستعمال المستأجر للعين بصورة فعلية. </t>
    </r>
  </si>
  <si>
    <t>السيد المدير العام</t>
  </si>
  <si>
    <t>الموديل والنوع</t>
  </si>
  <si>
    <t>وتفضلوا بقبول فائق الاحترام والتقدير،</t>
  </si>
  <si>
    <t>التفويض بالترخيص</t>
  </si>
  <si>
    <t>المدينة</t>
  </si>
  <si>
    <t>المفوّض</t>
  </si>
  <si>
    <t>رقم هوية المفوض</t>
  </si>
  <si>
    <t>هوية الموّقع</t>
  </si>
  <si>
    <t>الموّقع</t>
  </si>
  <si>
    <t>رقم هوية الموّقع</t>
  </si>
  <si>
    <t>رقم هوية المفوّض</t>
  </si>
  <si>
    <t>مأمون عبد الكريم يوسف رشدان</t>
  </si>
  <si>
    <t>علي سعد علي بني عوده</t>
  </si>
  <si>
    <t>عادل باسل عطيه رمحي</t>
  </si>
  <si>
    <t xml:space="preserve">حامد محمد نور الدين طه </t>
  </si>
  <si>
    <t>السادة دائرة الترخيص المحترمين</t>
  </si>
  <si>
    <t>تحية طيبة وبعد،</t>
  </si>
  <si>
    <t xml:space="preserve">الموضوع: تعهد بالدفع </t>
  </si>
  <si>
    <t>وتحتفظ شركة الإجارة الفلسطينية بحقها بالدفع خلال شهر من تاريخ استكمال الشروط الواردة أعلاه، كما وتحتفظ الشركة بحقها بعدم الدفع في حال وجود أية نواقص أو أخطاء في المستندات والوثائق تؤثر على حقوق الشركة.</t>
  </si>
  <si>
    <t xml:space="preserve">         وتفضلوا بقبول فائق الاحترام والتقدير،</t>
  </si>
  <si>
    <t>راتب محول للبنك</t>
  </si>
  <si>
    <t>راتب غير محول للبنك</t>
  </si>
  <si>
    <t>موظف حكومة</t>
  </si>
  <si>
    <t>يعمل في الداخل</t>
  </si>
  <si>
    <t>يعمل في الداخل براتب محول</t>
  </si>
  <si>
    <t>يعمل في الداخل براتب غير محول</t>
  </si>
  <si>
    <t xml:space="preserve">اعمال حرة/عمل خاص </t>
  </si>
  <si>
    <t>بلدية او مجلس محلي</t>
  </si>
  <si>
    <t>جمعية</t>
  </si>
  <si>
    <t>Supplier Name:</t>
  </si>
  <si>
    <t>√</t>
  </si>
  <si>
    <t>Beneficiary Name:</t>
  </si>
  <si>
    <t>Issuance Date:</t>
  </si>
  <si>
    <t>Notes</t>
  </si>
  <si>
    <t>Finance Department</t>
  </si>
  <si>
    <t>Beneficiary Dir./Dep.</t>
  </si>
  <si>
    <t xml:space="preserve">    Approved By:</t>
  </si>
  <si>
    <t xml:space="preserve">    Checked By:</t>
  </si>
  <si>
    <t xml:space="preserve">Invoice# </t>
  </si>
  <si>
    <t>Prepared By:</t>
  </si>
  <si>
    <t>Approved By:</t>
  </si>
  <si>
    <t>Cost Center:</t>
  </si>
  <si>
    <t>Accountant:</t>
  </si>
  <si>
    <t>Attachments</t>
  </si>
  <si>
    <t>Tax Invoice</t>
  </si>
  <si>
    <t>Credit or Debit Note</t>
  </si>
  <si>
    <t>Original Down Payment</t>
  </si>
  <si>
    <t>Price Offer</t>
  </si>
  <si>
    <t>Amortization Schedule</t>
  </si>
  <si>
    <t>Exchange Rate Doc.</t>
  </si>
  <si>
    <t>Insurance Policy</t>
  </si>
  <si>
    <t>License Certificate</t>
  </si>
  <si>
    <t>Delivery &amp; Acceptance Agreement</t>
  </si>
  <si>
    <t>Credit Recommendation</t>
  </si>
  <si>
    <t>1st Pg of Lease Contract PCMA Stamped</t>
  </si>
  <si>
    <t>Valid DAS</t>
  </si>
  <si>
    <t>Bank Acct Details (IBAN)</t>
  </si>
  <si>
    <t>Receipt of RePMT Cheques</t>
  </si>
  <si>
    <t>Account:</t>
  </si>
  <si>
    <t xml:space="preserve">Petty Cash </t>
  </si>
  <si>
    <t>Cheque</t>
  </si>
  <si>
    <t>Asset</t>
  </si>
  <si>
    <t>Invoice Amount</t>
  </si>
  <si>
    <t>PMT Method</t>
  </si>
  <si>
    <t>Wire Transfer</t>
  </si>
  <si>
    <t>Dir./Dep. Name:</t>
  </si>
  <si>
    <t>N/A</t>
  </si>
  <si>
    <t>Payment Receipt of PCMA Fees ($100)</t>
  </si>
  <si>
    <t>Payment Pledge</t>
  </si>
  <si>
    <t>4.5  من المفهوم للمورد بأنه وفي حال لحق بالعين المؤجرة أي ضرر دون خطأ من قبل المؤجر أو المستأجر قبل تسليم العين للمستأجر، فإنه يجوز للمستأجر قبول العين مع حقه بالتعويض المستحق نتيجة النقص في قيمة العين وذلك من المورد.</t>
  </si>
  <si>
    <r>
      <t>4.4  في جميع الأحوال فان من المتفق عليه بين أطراف هذا العقد بأن من حق المستأجر مطالبة المورد بالتعويض عن أي عيوب في العين موضوع هذا العقد بعد تسلم هذه العين على أن يكون إثبات هذه العيوب سابقاً على تاريخ إنتهاء الكفالة أو قبل إستلام العين وفقاً لشروط هذا العقد وملاحقه</t>
    </r>
    <r>
      <rPr>
        <sz val="14"/>
        <color rgb="FF000000"/>
        <rFont val="Times New Roman"/>
        <family val="1"/>
      </rPr>
      <t>.</t>
    </r>
  </si>
  <si>
    <r>
      <t>معلومات</t>
    </r>
    <r>
      <rPr>
        <sz val="16"/>
        <color rgb="FFFFFFFF"/>
        <rFont val="Simplified Arabic"/>
        <family val="1"/>
      </rPr>
      <t xml:space="preserve"> </t>
    </r>
    <r>
      <rPr>
        <b/>
        <sz val="16"/>
        <color rgb="FFFFFFFF"/>
        <rFont val="Simplified Arabic"/>
        <family val="1"/>
      </rPr>
      <t>الفريق الثاني والمشار اليه بالمستأجر</t>
    </r>
  </si>
  <si>
    <t>شو بدك من فلسطين</t>
  </si>
  <si>
    <t>طلب الهيئة</t>
  </si>
  <si>
    <t>يورو</t>
  </si>
  <si>
    <t>قد يتم تعديل سعر صرف العملة عند تجهيز العقود، وذلك حسب الاتفاق مع المورد والزبون.</t>
  </si>
  <si>
    <t>السيد مدير الفرع المحترم</t>
  </si>
  <si>
    <t>جهاز طبي</t>
  </si>
  <si>
    <t>وتفضلوا بقبول فائق الاحترام،</t>
  </si>
  <si>
    <t>نحن شركة الإجارة الفلسطينية، شركة مختصة بتقديم منتج الإجارة المتوافق مع الشريعة الإسلامية، أطلقها صندوق الاستثمار الفلسطيني بالشراكة مع المؤسسة الإسلامية لتنمية القطاع الخاص (جدة) والبنك الإسلامي الفلسطيني.</t>
  </si>
  <si>
    <t xml:space="preserve">حضرة السادة: </t>
  </si>
  <si>
    <t xml:space="preserve">فرع: </t>
  </si>
  <si>
    <t xml:space="preserve">تحية طيبة وبعد، </t>
  </si>
  <si>
    <t>اتفاقية توريد عامة</t>
  </si>
  <si>
    <t>وعنوانها : البيره – شارع نابلس.</t>
  </si>
  <si>
    <t>المقدمــة:</t>
  </si>
  <si>
    <t>اولاً: مقدمة الاتفاقية:</t>
  </si>
  <si>
    <t xml:space="preserve">تعتبر مقدمة هذه الاتفاقية وملاحقها ومرفقاتها جزء لا يتجزأ منها وتقرأ معها كوحدة واحدة. </t>
  </si>
  <si>
    <r>
      <t>ثانياً</t>
    </r>
    <r>
      <rPr>
        <sz val="12"/>
        <color theme="1"/>
        <rFont val="Simplified Arabic"/>
        <family val="1"/>
      </rPr>
      <t>: يلحق بهذه الاتفاقية الملاحق التالية وتعتبر جزء لا يتجزأ منها ولا يقرأ اي منهما بمعزل عن الاخر:-</t>
    </r>
  </si>
  <si>
    <t xml:space="preserve">ثالثاً: موضوع الاتفاقية. </t>
  </si>
  <si>
    <t>رابعاً: التزامات الفريق الأول:</t>
  </si>
  <si>
    <t xml:space="preserve">يتعهد ويلتزم الفريق الثاني بالقيام بالمهام والالتزامات التالية: </t>
  </si>
  <si>
    <t xml:space="preserve">سادساً: المباشرة بأعمال التوريد والتسليم. </t>
  </si>
  <si>
    <t xml:space="preserve">سابعا: القيمة الإجمالية للاتفاقية. </t>
  </si>
  <si>
    <t>عند ورود فواتير أو مطالبات مالية موجهة للبنك الاسلامي العربي.</t>
  </si>
  <si>
    <t xml:space="preserve"> او حسب الآلية التي يتم الاتفاق عليها بين الامر بالشراء والفريق الثاني لاحقا. </t>
  </si>
  <si>
    <t>ثامناً:</t>
  </si>
  <si>
    <t>الموضوع: عرض سعر</t>
  </si>
  <si>
    <t>____________</t>
  </si>
  <si>
    <t>السادة شركة الاجارة الفلسطينية المحترمين،</t>
  </si>
  <si>
    <t>الموضوع: سند قبض</t>
  </si>
  <si>
    <t>نرفق لحضرتكم عرض سعر الاصل/ول التالية:</t>
  </si>
  <si>
    <r>
      <t>الفريق الأول:</t>
    </r>
    <r>
      <rPr>
        <sz val="12"/>
        <color theme="1"/>
        <rFont val="Simplified Arabic"/>
        <family val="1"/>
      </rPr>
      <t xml:space="preserve"> شركة البنك الاسلامي العربي المساهة العامة المحدودة المسجلة لدى مراقب الشركات تحت الرقم (563201011) ويمثلها لغايات التوقيع على هذه الاتفاقية السيدة/ سهيرة عبيد والسيد/ مصطفى حماد ويشار اليها لاحقا بـ</t>
    </r>
    <r>
      <rPr>
        <b/>
        <sz val="12"/>
        <color theme="1"/>
        <rFont val="Simplified Arabic"/>
        <family val="1"/>
      </rPr>
      <t xml:space="preserve">(البنك).  بناء على طلب عميله السيد /السادة شركة الاجارة الفلسطينية ويشار إليه لاحقاً (الآمر بالشراء). </t>
    </r>
  </si>
  <si>
    <t>وعنوانها:</t>
  </si>
  <si>
    <r>
      <t>1-</t>
    </r>
    <r>
      <rPr>
        <sz val="7"/>
        <color theme="1"/>
        <rFont val="Simplified Arabic"/>
        <family val="1"/>
      </rPr>
      <t xml:space="preserve">    </t>
    </r>
    <r>
      <rPr>
        <sz val="12"/>
        <color theme="1"/>
        <rFont val="Simplified Arabic"/>
        <family val="1"/>
      </rPr>
      <t>الملحق رقم (1) طلب الشراء والوعد به الصادر عن عميل البنك (الآمر بالشراء).</t>
    </r>
  </si>
  <si>
    <r>
      <t>2-</t>
    </r>
    <r>
      <rPr>
        <sz val="7"/>
        <color theme="1"/>
        <rFont val="Simplified Arabic"/>
        <family val="1"/>
      </rPr>
      <t xml:space="preserve">    </t>
    </r>
    <r>
      <rPr>
        <sz val="12"/>
        <color theme="1"/>
        <rFont val="Simplified Arabic"/>
        <family val="1"/>
      </rPr>
      <t>المحلق رقم (2) عرض السعر الصادر عن المورد ويرد فيه تفاصيل البضاعة موضوع كل صفقة على حدة.</t>
    </r>
  </si>
  <si>
    <r>
      <t>3-</t>
    </r>
    <r>
      <rPr>
        <sz val="7"/>
        <color theme="1"/>
        <rFont val="Simplified Arabic"/>
        <family val="1"/>
      </rPr>
      <t xml:space="preserve">    </t>
    </r>
    <r>
      <rPr>
        <sz val="12"/>
        <color theme="1"/>
        <rFont val="Simplified Arabic"/>
        <family val="1"/>
      </rPr>
      <t xml:space="preserve">الملحق رقم (3) موافقة البنك على شراء التوريدات المفصلة في الملحق رقم (2) اعلاه. </t>
    </r>
  </si>
  <si>
    <t>مقابل قيام الفريق الثاني بتوريد التوريدات محل هذه الاتفاقية بالشروط والمواصفات المتفق عليها فإن الفريق الأول يلتزم بدفع المقابل المالي لبدل التوريدات للفريق الثاني في المواعيد المحددة في هذه الاتفاقية.</t>
  </si>
  <si>
    <r>
      <t xml:space="preserve">1) </t>
    </r>
    <r>
      <rPr>
        <sz val="7"/>
        <color theme="1"/>
        <rFont val="Simplified Arabic"/>
        <family val="1"/>
      </rPr>
      <t xml:space="preserve"> </t>
    </r>
    <r>
      <rPr>
        <sz val="12"/>
        <color theme="1"/>
        <rFont val="Simplified Arabic"/>
        <family val="1"/>
      </rPr>
      <t xml:space="preserve">تزويد الفريق الاول بالتوريدات المتفق على شرائها وفقاً لما هو محدد في ملاحق هذه الاتفاقية والتي تحدد من قبل الآمر بالشراء السادة/ </t>
    </r>
    <r>
      <rPr>
        <b/>
        <sz val="12"/>
        <color theme="1"/>
        <rFont val="Simplified Arabic"/>
        <family val="1"/>
      </rPr>
      <t>شركة الاجارة الفلسطينية</t>
    </r>
    <r>
      <rPr>
        <sz val="12"/>
        <color theme="1"/>
        <rFont val="Simplified Arabic"/>
        <family val="1"/>
      </rPr>
      <t xml:space="preserve"> والمستندة الى الفواتير الخاصة بالبضاعة.</t>
    </r>
  </si>
  <si>
    <r>
      <t>1)</t>
    </r>
    <r>
      <rPr>
        <sz val="7"/>
        <color theme="1"/>
        <rFont val="Simplified Arabic"/>
        <family val="1"/>
      </rPr>
      <t xml:space="preserve">      </t>
    </r>
    <r>
      <rPr>
        <sz val="12"/>
        <color theme="1"/>
        <rFont val="Simplified Arabic"/>
        <family val="1"/>
      </rPr>
      <t>يقر ويصرح كل من اطراف هذه الاتفاقية بان اي سندات تفويض / اقرارات / تعهدات / تعديلات / ملاحق متعلقة بهذه الاتفاقية و/او ناشئة عنها و/او منها يجب ان تكون خطية وموقعة من قبل الفريقين وعندها تعتبر جزءاً لا يتجزأ منها وتقرأ معها.</t>
    </r>
  </si>
  <si>
    <r>
      <t>2)</t>
    </r>
    <r>
      <rPr>
        <sz val="7"/>
        <color theme="1"/>
        <rFont val="Simplified Arabic"/>
        <family val="1"/>
      </rPr>
      <t xml:space="preserve">      </t>
    </r>
    <r>
      <rPr>
        <sz val="12"/>
        <color theme="1"/>
        <rFont val="Simplified Arabic"/>
        <family val="1"/>
      </rPr>
      <t>يقر ويصرح الفريقان بان هذه الاتفاقية ملزمة لهما ولا يجوز الرجوع عنها او الطعن فيها باي طريق من طرق الطعن حيث انه تم التوقيع عليها برضى واتفاق الفريقين وبارادة حرة ودون ضغط او اكراه.</t>
    </r>
  </si>
  <si>
    <r>
      <t>3)</t>
    </r>
    <r>
      <rPr>
        <sz val="7"/>
        <color theme="1"/>
        <rFont val="Simplified Arabic"/>
        <family val="1"/>
      </rPr>
      <t xml:space="preserve">      </t>
    </r>
    <r>
      <rPr>
        <sz val="12"/>
        <color theme="1"/>
        <rFont val="Simplified Arabic"/>
        <family val="1"/>
      </rPr>
      <t>من المفهوم للفريقين ان هذه الاتفاقية تقع على ثلاث صفحات وان توقيع اي طرف من اطراف هذه الاتفاقية على اي صفحة من صفحاتها يعتبر توقيع عليها جميعها ولا يحق لاي منهما الطعن باي من صفحاتها بداعي عدم التوقيع عليها.</t>
    </r>
  </si>
  <si>
    <r>
      <t>4)</t>
    </r>
    <r>
      <rPr>
        <sz val="7"/>
        <color theme="1"/>
        <rFont val="Simplified Arabic"/>
        <family val="1"/>
      </rPr>
      <t xml:space="preserve">      </t>
    </r>
    <r>
      <rPr>
        <sz val="12"/>
        <color theme="1"/>
        <rFont val="Simplified Arabic"/>
        <family val="1"/>
      </rPr>
      <t>إن مجرد إرسال أي إشعار أو خطاب إلى الفريق الثاني على العنوان المثبت لدى الفريق الاول يعتبر بينة كافية وتبليغاً أصوليا.</t>
    </r>
  </si>
  <si>
    <r>
      <t>2)</t>
    </r>
    <r>
      <rPr>
        <sz val="7"/>
        <color theme="1"/>
        <rFont val="Simplified Arabic"/>
        <family val="1"/>
      </rPr>
      <t xml:space="preserve">  </t>
    </r>
    <r>
      <rPr>
        <sz val="12"/>
        <color theme="1"/>
        <rFont val="Simplified Arabic"/>
        <family val="1"/>
      </rPr>
      <t xml:space="preserve">من المفهوم والملزم للفريق الثاني بأنه يحق للفريق الاول/ لبنك بيع التوريدات الموصوفة في ملاحق هذه الاتفاقية (محل الشراء) لعميلنا السادة/ </t>
    </r>
    <r>
      <rPr>
        <b/>
        <sz val="12"/>
        <color theme="1"/>
        <rFont val="Simplified Arabic"/>
        <family val="1"/>
      </rPr>
      <t>شركة الاجارة الفلسطينية</t>
    </r>
    <r>
      <rPr>
        <sz val="12"/>
        <color theme="1"/>
        <rFont val="Simplified Arabic"/>
        <family val="1"/>
      </rPr>
      <t xml:space="preserve"> او لاي شخص اخر يتم الاتفاقية على تسميته بتوافق الفريقين اذا امتنع الامر بالشراء من شراء التوريدات.</t>
    </r>
  </si>
  <si>
    <r>
      <t>3)</t>
    </r>
    <r>
      <rPr>
        <sz val="7"/>
        <color theme="1"/>
        <rFont val="Simplified Arabic"/>
        <family val="1"/>
      </rPr>
      <t xml:space="preserve">   </t>
    </r>
    <r>
      <rPr>
        <sz val="12"/>
        <color theme="1"/>
        <rFont val="Simplified Arabic"/>
        <family val="1"/>
      </rPr>
      <t>يلتزم الفريق الثاني بتوريد وتسليم التوريدات محل هذه الاتفاقية للفريق الاول بالشروط و المواعيد المتفق عليها في هذه الاتفاقية دون أي تأخير أو تقصير أو إهمال وأن يتوخى الحرص التام لانجاز عمله بالشكل اللائق والذي يتمثل بتحقيق النتيجة على أكمل وجه.</t>
    </r>
  </si>
  <si>
    <t xml:space="preserve">4) مراعاة المعايير المتعارف عليها في تنفيذ التزاماته موضوع هذه الاتفاقية.   </t>
  </si>
  <si>
    <r>
      <t>5)</t>
    </r>
    <r>
      <rPr>
        <sz val="7"/>
        <color rgb="FF000000"/>
        <rFont val="Simplified Arabic"/>
        <family val="1"/>
      </rPr>
      <t xml:space="preserve"> </t>
    </r>
    <r>
      <rPr>
        <sz val="12"/>
        <color rgb="FF000000"/>
        <rFont val="Simplified Arabic"/>
        <family val="1"/>
      </rPr>
      <t>عمل كل ما يلزم لتفادي أي تاخير و/أو تعطيل لغايات تنفيذه مضمون هذه الإتفاقية.</t>
    </r>
  </si>
  <si>
    <r>
      <t>6)</t>
    </r>
    <r>
      <rPr>
        <sz val="7"/>
        <color theme="1"/>
        <rFont val="Simplified Arabic"/>
        <family val="1"/>
      </rPr>
      <t xml:space="preserve">      </t>
    </r>
    <r>
      <rPr>
        <sz val="12"/>
        <color theme="1"/>
        <rFont val="Simplified Arabic"/>
        <family val="1"/>
      </rPr>
      <t>تتكون هذه الاتفاقية من مقدمة وثمانية مواد بما فيها هذا البند من هذه المادة وقد جرى تحريرها والتوقيع عليها برضى واتفاق الفريقين بعد تلاوتها عليهما وتفهم مضمونها.</t>
    </r>
  </si>
  <si>
    <r>
      <t>5)</t>
    </r>
    <r>
      <rPr>
        <sz val="7"/>
        <color theme="1"/>
        <rFont val="Simplified Arabic"/>
        <family val="1"/>
      </rPr>
      <t xml:space="preserve">      </t>
    </r>
    <r>
      <rPr>
        <sz val="12"/>
        <color theme="1"/>
        <rFont val="Simplified Arabic"/>
        <family val="1"/>
      </rPr>
      <t>من المتفق علية بين الفرقاء بأن من حق الفريق الأول (البنك) الغاء و/أو وقف العمل بموجب هذه الاتفاقية في حال وجود الأسباب الموجبة لإلغاء الاتفاق، على أن يقوم بتوجيه اشعار للفريق الثاني قبل اسبوع من تاريخ الالغاء على عنوانه المثبت في هذه الاتفاقية موضحا فيه أسباب الغاء و/أو وقف العمل هذه الاتفاقية.</t>
    </r>
  </si>
  <si>
    <t>خامساً: إلتزامات الفريق الثاني:</t>
  </si>
  <si>
    <r>
      <t>8.3</t>
    </r>
    <r>
      <rPr>
        <sz val="12"/>
        <color rgb="FF000000"/>
        <rFont val="Times New Roman"/>
        <family val="1"/>
      </rPr>
      <t xml:space="preserve"> وللغاية المبينة اعلاه يتعهد الوكيل بتزويد المؤجر باي وثائق يطلبها الاخير لكي يتمكن المؤجر من القيام  بنقل و/او احالة اي من الحقوق والالتزامات الواردة في هذا العقد الى الغير وفقا لاحكام هذا البند من هذا العقد. </t>
    </r>
  </si>
  <si>
    <t>7.1 من المتفق عليه بين الفريقين بان تفسير هذا العقد او اي من عقود/ وثائق شركة اجارة التي تم التوقيع عليها بالاستناد الى هذا العقد بالاضافة الى تنفيذها او تطبيقها او صلاحيتها تكون خاضعة للقوانين سارية المفعول في فلسطين وبما لا يخالف مبادئ الشريعة.</t>
  </si>
  <si>
    <t>الموضوع: تفويض</t>
  </si>
  <si>
    <t>Credit Dep.</t>
  </si>
  <si>
    <t>عقد وكالة تقديم الخدمة لشراء العين</t>
  </si>
  <si>
    <r>
      <t>الفريق الاول:</t>
    </r>
    <r>
      <rPr>
        <sz val="11"/>
        <color theme="1"/>
        <rFont val="Simplified Arabic"/>
        <family val="1"/>
      </rPr>
      <t xml:space="preserve"> شركة الاجارة الفلسطينية، المسجلة في رام الله، دولة فلسطين والمشار اليه لاحقا في هذا العقد بـ " الموكل /الفريق الاول"؛ و</t>
    </r>
  </si>
  <si>
    <t>لغايات هذا العقد يشار الى كل من الفريق الاول والفريق الثاني والثالث مجتمعين بـ "الفرقاء".</t>
  </si>
  <si>
    <t xml:space="preserve"> وبما ان الفريق الثاني والفريق الثالث (إن انطبق) المشار اليه لاحقا بالوكيل (الواعد بالاستئجار) وافق على ان يقوم بأعمال الوكالة موضوع هذا العقد بالنيابة عن الفريق الاول ووفقا للشروط والاحكام المتفق عليها  في هذا العقد و/او في اي من ملاحقه ومرفقاته.</t>
  </si>
  <si>
    <t>وعليه فقد اتفق الفريقان على ما يلي:</t>
  </si>
  <si>
    <t>يكون للكلمات والمفردات الواردة في هذا العقد المعاني التالية ما لم يدل النص على خلاف ذلك:</t>
  </si>
  <si>
    <r>
      <t>ووفقا للشروط والمواصفات والكميات المحددة والمبينة تفصيلا في ملحق هذا العقد (ملحق رقم 1- مواصفات العين وشروط الدفع والتوريد</t>
    </r>
    <r>
      <rPr>
        <b/>
        <sz val="11"/>
        <color theme="1"/>
        <rFont val="Simplified Arabic"/>
        <family val="1"/>
      </rPr>
      <t>)</t>
    </r>
    <r>
      <rPr>
        <sz val="11"/>
        <color theme="1"/>
        <rFont val="Simplified Arabic"/>
        <family val="1"/>
      </rPr>
      <t xml:space="preserve"> وعقد الوعد بالاستئجار المقترن بوعد الشراء والتأجير والتعاقد مع جميع الجهات المختصة بما فيه الشركة الصانعة وشركات الشحن والنقل والتامين واي طرف اخر لازم لتحقيق اهداف هذا العقد وضمن شروطه وفي حدود الوكالة وذلك لإتمام هذه الخدمات في المواعيد المحددة في هذه الاتفاقية و/او أي من ملاحقها/مرفقاتها، ودفع كافة الرسوم والمصاريف والنفقات والضرائب المتعلقة بها والناشئة عن ملكية الفريق الاول لها و/او عن اعمال الشحن والنقل والتفريغ والتركيب والتامين وذلك بالنيابة عن الفريق الاول، وكافة الخدمات /اعمال الوكالة التي سيقدمها الوكيل وفقاً لشروط واحكام هذا العقد.</t>
    </r>
  </si>
  <si>
    <t>ثالثا: التعيين:</t>
  </si>
  <si>
    <t>رابعا: التزامات الوكيل:</t>
  </si>
  <si>
    <t>يتعهد الوكيل/الفريق الثاني ويلتزم بتنفيذ كافة الخدمات المعرفة في مقدمة هذا العقد وفقا للشروط التالية:</t>
  </si>
  <si>
    <t xml:space="preserve">في حال فشل الفريق الثاني في القيام بالالتزامات المذكورة اعلاه او قام بتنفيذها بشكل ناقص / معيب فانه في هذه الحالة يكون ملزما بإعادة الدفعة المقدمة و/او اية مبالغ مدفوعة  وبتعويض الفريق الاول عن ما قد يلحق العين محل هذا العقد من عطل وضرر و/او  أية خسارة فعلية وعن كافة الأضرار التي قد يتحملها الفريق الاول بسبب فشل الوكيل بالوفاء بالتزاماته موضوع هذا العقد هذا دون الاخلال بحق الفريق الاول بفسخ هذا العقد فورا دون الحاجة الى اشعار او انذار او اللجوء الى القضاء واي من العقود / الملاحق الملحق بها هذا العقد و/او الملحقة به باعتبارها جزء لا يتجزأ منها. </t>
  </si>
  <si>
    <t xml:space="preserve">خامسا: التامين والتعويض: </t>
  </si>
  <si>
    <t>في حال تم حفظ بوالص التأمين لدى الوكيل فان الوكيل في هذه الحالة يكون ملزما بمطالبة شركة التامين بالتعويض عن الضرر على وجه السرعة وفقا لشروط واحكام بوالص التأمين ذات الصلة والخاصة بالعين، على انه من المفهوم للوكيل بانه لا يحق له باي حال من الاحوال التوصل الى اية تسوية او مصالحة بخصوص هذه المطالبة /التعويضات دون الحصول على موافقة الفريق الاول الخطية المسبقة تحت طائلة المسؤولية القانونية والمالية.</t>
  </si>
  <si>
    <t>ولهذا الغرض فان الوكيل يتعهد ويلتزم بصورة نهائية وقطعية وغير قابلة للنقض او الرجوع، انه وفي حال تم دفع اي مبالغ من قبل المؤمن/ شركة التامين او اي جهة اخرى  الى الوكيل ناشئة عن المطالبة بالتعويض عن الأضرار، فان من المفهوم للوكيل انه يتسلم هذه التعويضات بالنيابة عن الفريق الاول ولصالحه، ويتعهد بإعادة/ دفع هذه المبالغ للفريق الاول خلال أسبوع فقط من تاريخ الاستلام باعتباره المستفيد الوحيد من بوالص التامين.</t>
  </si>
  <si>
    <t>سادسا:  النفقات والمصاريف</t>
  </si>
  <si>
    <t>التزام الفريق الاول:</t>
  </si>
  <si>
    <t>سابعا: التقاص</t>
  </si>
  <si>
    <t>بغض النظر عن أي  شرط / حكم ورد في  عقد/ عقود / وثائق الإجارة، فان من المفهوم للوكيل انه وفي حال  كان  الوكيل طرفا بعقد التأجير التمويلي، فان الفريق الاول يكون مفوضا بموجب هذا العقد من قبل الوكيل لاجراء التقاص بين اية التزامات مستحقة على الفريق الاول في مواجهة الوكيل،  بما في ذلك التزام الفريق الاول بدفع بدل نفقات الخدمة أو أية مبالغ أخرى مستحقة الدفع للوكيل بموجب هذا العقد،   وبين اي التزامات مستحقة على الوكيل تجاه الفريق الاول بما في ذلك الدفعات التأجيرية أو اي مبالغ اخرى مستحقة الدفع على الوكيل للمؤجر بموجب عقد التأجير التمويلي أو بموجب اي اتفاق / اتفاقات / تفاهمات اخرى بين الفريق الاول والوكيل.</t>
  </si>
  <si>
    <t>وبالمقابل فانه من المفهوم  للوكيل بانه لا يحق له باي حال من الاحوال  اجراء التقاص  بين اي التزامات  للوكيل بذمة الموكل /الفريق الاول بموجب هذا العقد وبين اي التزامات اخرى  للمؤجر بذمة  الوكيل بموجب هذا العقد  أو أي  عقد آخر بين الفريق الاول والوكيل الا بعد الحصول على موافقة الفريق الاول الخطية المسبقة.</t>
  </si>
  <si>
    <t xml:space="preserve">ثامنا: الاخلال </t>
  </si>
  <si>
    <t>حالات الاخلال</t>
  </si>
  <si>
    <t xml:space="preserve">من المتفق عليه بين فريقي هذا العقد بان الوكيل يعتبر مخلا باحكام هذا العقد في حال توفر اي او كل من الحالات الاتية: </t>
  </si>
  <si>
    <t xml:space="preserve"> (ب) اذا كان الوكيل ملزما بحفظ بوالص التامين ولم يلتزم الوكيل بالمحافظة على بوالص التامين سارية المفعول و/او عدم التقيد بشروط البوليصة / بوالص التامين وفقا لأحكام هذا العقد.  </t>
  </si>
  <si>
    <t>تاسعا: انهاء العقد</t>
  </si>
  <si>
    <t>عاشرا:  التعويض والمصاريف</t>
  </si>
  <si>
    <t>يلتزم الوكيل ويتعهد بتعويض الفريق الاول عن كافة المسؤوليات والنفقات والمصاريف التي قد يتكبدها والتي قد تنشـأ عن اية ادعاءات و/او طلبات و/او مطالبات/ دعاوى/ اجراءات / اضرار / خسائر/ مصاريف/ نفقات (والمشار اليها هنا بـ "الخسائر") والناشئة عن اي دعاوى تقام من الفريق الاول او  ضده والناشئة عن هذا العقد او اي من وثائق/مستندات أخرى تابعة له وثائق الاجارة   (بما في ذلك اي خسائر او دعاوى تقام من الفريق الاول او ضده بسبب الهلاك الكلي للعين) والناشئة عن فعل  الوكيل او تقصيره  او اخلاله بالتزاماته الناشئة عن هذا العقد.</t>
  </si>
  <si>
    <t>الحادي عشر:  استمرار البنود المتعلقة بالتعويض بعد انتهاء الاتفاقية</t>
  </si>
  <si>
    <t>من المتفق عليه بين فريقي هذا العقد بان احكام هذا العقد بكافة بنوده سوف تظل سارية المفعول ونافذة حتى بعد انهاء /  انتهاء هذا العقد  فيما يتعلق باي من الالتزامات القائمة / غير المنفذة و التي تستحق على اي من الفريقين في مواجهة الفريق الاخر.</t>
  </si>
  <si>
    <t>الثاني عشر: الاحالة/التحويل من قبل الفريق الاول</t>
  </si>
  <si>
    <t>الثالث عشر : الإخطارات</t>
  </si>
  <si>
    <t>الرابع عشر: القانون المطبق والصلاحية القضائية</t>
  </si>
  <si>
    <t>الخامس عشر: عدم الحصرية</t>
  </si>
  <si>
    <t>لا يوجد في هذا العقد ما من شأنه ان يحد من حق الفريق الاول باتخاذ أي اجراء قانوني ضد الوكيل و/او ممتلكاته الموجودة في فلسطين أو ضمن حدود اي صلاحية قضائية اخرى خارج فلسطين.</t>
  </si>
  <si>
    <t>السادس عشر: شروط واحكام عامة</t>
  </si>
  <si>
    <t xml:space="preserve">أ.  يوافق الوكيل بموجب هذا العقد على قيام الفريق الاول بالإفصاح عن بعض او كل المعلومات الخاصة بالوكيل بموجب هذا العقد و/او بأي وثيقة اجارة اخرى وفقا لما يراه الفريق الاول مناسبا  للغير / للمحال له او لاي طرف الثالث محتمل أو لأي شخص آخر من الممكن ان يدخل بعلاقة تعاقدية ذات صلة بهذه الاتفاقية مع الفريق الاول. </t>
  </si>
  <si>
    <t xml:space="preserve">ب. يوافق الوكيل على قيام الفريق الاول أو اي من موظفيه او مساهميه او عملائه او وكلائه بالإفصاح عن بعض او كل المعلومات المتعلقة به وذلك للجهات الاتية: </t>
  </si>
  <si>
    <t xml:space="preserve"> عن الفريق الاول</t>
  </si>
  <si>
    <t>التوقيع الرسمي .............................</t>
  </si>
  <si>
    <t>الاسم : عادل الرمحي</t>
  </si>
  <si>
    <t>اللقب الوظيفي : المدير التنفيذي</t>
  </si>
  <si>
    <t>الختم .............................................</t>
  </si>
  <si>
    <t xml:space="preserve"> الوكيل</t>
  </si>
  <si>
    <t>الاسم ...........................................</t>
  </si>
  <si>
    <t>اللقب الوظيفي ................................</t>
  </si>
  <si>
    <t>الختم (اذا توافر)..............................</t>
  </si>
  <si>
    <t>ملحق رقم 1- مواصفات العين وشروط الدفع والتوريد</t>
  </si>
  <si>
    <t>يلتزم الفريق الأول بتحويل الدفعات المالية للفريق الثاني/ الوكيل لشراء العين في حالة اثباتة وتوثيقة للمراسلات بينة وبين الشركة الصانعة/ المنتجة/ او جهة الطلب وبعد تقديم كافة الوثائق اللازمة والمطلوبة</t>
  </si>
  <si>
    <t xml:space="preserve">مواصفات مواصفات الأصل / الأصول المؤجرة: </t>
  </si>
  <si>
    <t>الكفلاء:</t>
  </si>
  <si>
    <r>
      <t>الفريق الثاني:</t>
    </r>
    <r>
      <rPr>
        <b/>
        <sz val="11"/>
        <color theme="1"/>
        <rFont val="Simplified Arabic"/>
        <family val="1"/>
      </rPr>
      <t xml:space="preserve"> </t>
    </r>
  </si>
  <si>
    <t>ثانيا: التعريفات:</t>
  </si>
  <si>
    <r>
      <t xml:space="preserve">1-    "الخدمات": </t>
    </r>
    <r>
      <rPr>
        <sz val="11"/>
        <color theme="1"/>
        <rFont val="Simplified Arabic"/>
        <family val="1"/>
      </rPr>
      <t>تلك الخدمات المتعلقة بإجراء اعمال الشراء والدفع والاستيراد للعين المؤجرة والواردة اوصافها بملحق هذا العقد "ملحق رقم 1- مواصفات العين وشروط الدفع والتوريد"</t>
    </r>
  </si>
  <si>
    <r>
      <t>2-    النفقات والمصاريف:</t>
    </r>
    <r>
      <rPr>
        <sz val="11"/>
        <color theme="1"/>
        <rFont val="Simplified Arabic"/>
        <family val="1"/>
      </rPr>
      <t xml:space="preserve"> تشمل كافة المصاريف والنفقات والضرائب والرسوم المترتبة على الماكينات موضوع هذا العقد، بما في ذلك، وعلى سبيل المثال وليس الحصر، رسوم التسجيل وتوفير بوالص التأمين / الشحن / التحميل / التفريغ / التزيل / النقل / التركيب / التشغيل.</t>
    </r>
  </si>
  <si>
    <t>3-    اينما وردت كلمة “بنود” او “مواد”  في هذا العقد فان المقصود بها بنود/ مواد هذا العقد.</t>
  </si>
  <si>
    <t>2-     من المفهوم للفريق الثاني بان ملكية هذه الماكينات ستكون للفريق الاول منفردا وان ما يقوم به من اعمال شراء واستيراد هو لمصلحة الفريق الاول وبالنيابة عنه ولهذه الغاية فانه يلتزم ويتعهد بنقل وتسجيل هذه الماكينات باسم الموكل /الفريق الاول منفردا واستصدار كافة الفواتير والتراخيص والتصاريح اللازمة لاستيراد ونقل وتحميل وتفريغ وتركيب وتشغيل هذا العين من خارج فلسطين والى داخلها وحتى وصولها سالمة الى مقر الفريق الثاني المتفق عليه بموجب عقد الوعد بالاستئجار والواقع في فلسطين.</t>
  </si>
  <si>
    <t>3-     كما يلتزم الفريق الثاني بالتقيد بكافة اجراءات التسجيل والحصول على كافة التراخيص اللازمة لاية تعاملات كهذه وفقا للقوانين الفلسطينية و/او القوانين سارية المفعول في البلدان/ المناطق المنوي استيراد الماكينات منها.</t>
  </si>
  <si>
    <t>4-     يلتزم الفريق الثاني بان بتحمل كامل الرسوم والمصاريف المترتبة على شحن الماكينات والتحميل والتنزيل والتامين عليها وكافة الضرائب والرسوم والجمارك ورسوم الموانئ الاسرائيلية ومصاريف التخليص وتكاليف التركيب وعلى نفقته وحسابه الخاص التي من الممكن ان يتكبدها المورد و/او مالك هذه الماكينات.</t>
  </si>
  <si>
    <t>5-     يلتزم الوكيل بالمحافظة على العين محل هذا العقد منذ لحظة الشحن ولغاية تحميلها وتنزيلها ونقلها وتشغيلها سالمة في مقر الفريق الثاني المتفق عليه وفق المواصفات المحددة من الصانع.</t>
  </si>
  <si>
    <t>6-     يلتزم الفريق الثاني بعدم توقيع اية عقود من شانها فرض اي التزامات مالية اضافية على الفريق الاول  و/او من شانها ان تعرض الفريق الاول لأية مسؤوليات /مخاطر /مخالفات قانونية.</t>
  </si>
  <si>
    <t xml:space="preserve">7-     يلتزم الفريق الثاني بالإفصاح لأي جهة يتعامل معها او يتعاقد معها لغايات تنفيذ احكام هذا العقد  بان تنفيذه لهذه الاعمال وتوقيعه على العقود هو بالنيابة عن الفريق الاول كونه وكيلا عنه. </t>
  </si>
  <si>
    <t>8-     يلتزم ويتعهد الفريق الثاني بتزويد الفريق الاول بكتيب الخدمة والتشغيل والتركيب للعين (إن انطبق) وشروط الكفالة والضمان المصنعية.</t>
  </si>
  <si>
    <t>9-     من المفهوم للفريق الثاني بان هذه الوكالة بدون اجر ولهذه الغاية فانه يسقط حقه بالرجوع على الفريق الاول بأية مبالغ/مطالبات /ادعاءات /دعاوى بهذا الخصوص في اي وقت من الاوقات.</t>
  </si>
  <si>
    <t>10-    من المفهوم للفريق الثاني بانه لا يحق له اجراء اي تصرف على العين محل هذا العقد والتي من شانها ان تمنح حقوقا للغير على هذا العين اي كان شكلها ونوعها ما لم يتم الحصول على موافقة الفريق الاول الخطية المسبقة.</t>
  </si>
  <si>
    <t>11-    لا يحق للفريق الثاني ان يعهد باي من التزاماته المنصوص عليها في هذا العقد الى اي شخص /جهة اخرى الا بعد الحصول على موافقة الفريق الاول الخطية المسبقة وفي هذه الحالة فان الفريق الثاني يكون مسؤولا بالتكافل والتضامن مع الجهة التي تم التحويل لها عن كافة الشروط والالتزامات والضمانات والمواعيد المتفق عليها مع الفريق الاول.</t>
  </si>
  <si>
    <t>13- يلتزم الفريق الثاني بالقيام بأعمال الصيانة والاشراف والمراقبة والمتابعة لطواقم الصيانة بالشروط والمواصفات المتفق عليها مع الفريق الاول وتشغيلها وفقا للأسس والقواعد والمعايير وتعليمات الجهة المصنعة لها، مع تحمله كامل المسؤولية في حال عدم الالتزام.</t>
  </si>
  <si>
    <t xml:space="preserve">14- من المفهوم للفريق الثاني بانه لا يجوز له الاتفاق على استيراد اجهزة مخالفة للشروط والمواصفات المتفق عليها مع الفريق الاول ما لم يوافق الفريق الاول بشكل خطي عليها وبخلاف ذلك  وفي هذه الحالة فان من حق الفريق الاول فسخ هذا العقد بإرادته المنفردة فورا ودون الحاجة الى اشعار او انذار او اللجوء الى القضاء والرجوع على الفريق الثاني بكافة العطل والضرر الذي لحق به من جراء ذلك.  </t>
  </si>
  <si>
    <t>16- يتعهد الوكيل بتعويض الفريق الاول عن اية عيوب ظاهرة او خفية قد تظهر في العين محل هذا العقد بحيث يكون مسؤولا بشكل منفرد عن هذه العيوب في مواجهة الفريق الاول و/او الغير.</t>
  </si>
  <si>
    <t>17-  اعلام الفريق الأول خطيا عند التوقيع/ استكمال إجراءات الشراء مع المورد، وتزويده بكافة النماذج/ الأوراق/ المستندات ذات العلاقة.</t>
  </si>
  <si>
    <t xml:space="preserve">1-     ان يقوم الوكيل بالتعاقد مع شركة التامين (شركة التكافل للتامين بالدرجة الأولى وتجيير التامين لصالح الطرف الاول او اي شركة أخرى مع تجيير بوليصة/ بوالص التامين لصالح الطرف الأول) لتوفير بوليصة تامين شامل للعين موضوع هذا العقد ضد كافة الاخطار /الاضرار التي قد تلحق بها وفقا للعرف التجاري السائد منذ لحظة الشحن ولغاية وصولها الى مقر الفريق الثاني في فلسطين او المقر المتفق عليه مع الفريق الاول في فلسطين، وبدفع اقساط بوالص التأمين مباشرة لشركة التأمين وفق الية يتفق عليه، وعلى ان  يكون الموكل (الفريق الأول) هو المستفيد الوحيد من بوالص التأمين المذكورة، ولهذه الغاية فانه يلتزم بتزويد الفريق الاول بصورة طبق الاصل عن بوليصة التامين مع مراعاة وجوب الحصول على موافقة الفريق الاول بخصوص شروط هذه البوالص واحكامها بشكل خطي ومسبق على التعاقد مع شركة التامين.  </t>
  </si>
  <si>
    <t>2-     يجب على الوكيل وفي اي وقت من الاوقات الامتناع عن التصرف بشكل يمكن ان يتسبب بإلغاء بوليصة التامين او يؤدي الى الاجحاف بحقوق الفريق الاول او زيادة تكلفة بوليصة التامين.</t>
  </si>
  <si>
    <t>3-     من المتفق عليه بين فريقي هذا العقد بان على الوكيل في حال حدوث أية اعطال/ اضرار للعين خلال عملية النقل والشحن ان يقوم بإشعار الفريق الاول خطيا خلال يومين كحد اقصى من حدوث ذلك العطل / الضرر، مع بيان طبيعة العطل/ الضرر وذلك بموجب تقرير فني شامل، مع بيان حجم الخسائر والاضرار التي  حصلت  وتكلفة اصلاح العين المتضررة.</t>
  </si>
  <si>
    <t>4-      ان الوكيل يقوم بتعويض الفريق الاول فورا عن كافة الاضرار التي تلحق بالعين اذا لم تكن هذه الاضرار مغطاة بموجب بوالص التأمين، كما يكون ملزما بتعويض الفريق الاول عن أية اضرار يتكبدها بسبب اخلال / تقصير / اهمال الوكيل / امتناعه عن تامين العين او تجديد بوالص التأمين. او عدم تامين العين بالصورة اللازمة والكافية، او في حال رفض المؤمن/ شركة التامين دفع مبلغ التعويض بسبب اهمال او تقصير الوكيل او اخلاله بشروط بوالص التامين.</t>
  </si>
  <si>
    <r>
      <t xml:space="preserve">أ‌.        شريطة عدم اخلال الوكيل باحكام وشروط هذا العقد،  ومع مراعاة احكام هذا العقد، فان </t>
    </r>
    <r>
      <rPr>
        <b/>
        <sz val="11"/>
        <color theme="1"/>
        <rFont val="Simplified Arabic"/>
        <family val="1"/>
      </rPr>
      <t xml:space="preserve">الفريق الثاني </t>
    </r>
    <r>
      <rPr>
        <sz val="11"/>
        <color theme="1"/>
        <rFont val="Simplified Arabic"/>
        <family val="1"/>
      </rPr>
      <t xml:space="preserve">يتعهد بدفع كافة النفقات والمصاريف الفعلية التي تكبدها الوكيل في سبيل تأدية الخدمة بالاضافة الى الضرائب والرسوم المترتبة على الفريق الاول بصفته مالكا الالات موضوع هذا العقد، بما في ذلك، وعلى سبيل المثال وليس على سبيل الحصر،  رسوم التسجيل وتوفير بوالص التأمين / الشحن / التحميل / التزيل / النقل / التشغيل وذلك بتاريخ الاستحقاق،  على ان يقوم الوكيل بتزويد الفريق الاول بفواتير ضريبية رسمية واصولية منه لصالح الفريق الاول. </t>
    </r>
  </si>
  <si>
    <r>
      <t xml:space="preserve">ب‌.     كشرط مسبق لقيام الفريق الاول بتسديد نفقات الخدمة التي يؤديها الوكيل،  فان </t>
    </r>
    <r>
      <rPr>
        <b/>
        <sz val="11"/>
        <color theme="1"/>
        <rFont val="Simplified Arabic"/>
        <family val="1"/>
      </rPr>
      <t>الوكيل يلتزم بتزويد الفريق الاول بفواتير ضريبية أصولية مختومة من ضريبة القيمة المضافة وشهادة خصم مصدر سارية</t>
    </r>
    <r>
      <rPr>
        <sz val="11"/>
        <color theme="1"/>
        <rFont val="Simplified Arabic"/>
        <family val="1"/>
      </rPr>
      <t xml:space="preserve"> المفعول بالإضافة الى كافة الوثائق والمستندات الرسمية والاصولية التي من شأنها ان تثبت شراء واستيراد الفريق الثاني للاجهزة  فعلا ووفقا للشروط والمواصفات وبالأسعار المتفق عليها في هذا العقد و/او اي من ملاحقه ومرفقاته.</t>
    </r>
  </si>
  <si>
    <t>ت‌.     يلتزم الفريق الثاني بتزويد الفريق الاول بتقرير مفصل بكافة الخدمات والاعمال الموكل بها بموجب هذا العقد فور طلب الفريق الاول اليه ذلك دون اي تأخير و/او تقصير و/او اهمال.</t>
  </si>
  <si>
    <t xml:space="preserve">أ‌.        ان يقوم باتخاذ كافة الاجراءات القانونية التي يكفلها له القانون وهذا العقد،  والرجوع بالتعويض عن الضرر على الوكيل. </t>
  </si>
  <si>
    <t xml:space="preserve">ب‌.     فسخ / انهاء هذا العقد، فور انقضاء المهلة المحددة بالإشعار المبين اعلاه، وذلك بإرادة الفريق الاول المنفردة  ودون الحاجة للجوء للقضاء. </t>
  </si>
  <si>
    <t>ت‌.     بالرغم مما تقدم اعلاه فانه من المفهوم للفريق الثاني بانه يحق للفريق الاول فسخ / انهاء هذا العقد في اي وقت من الاوقات دون الحاجة لبيان الاسباب ودون الحاجة لقرار قضائي شريطة اشعار الفريق الثاني خطيا بذلك قبل 15 يوما من تاريخ الفسخ / الانهاء الفعلي ذلك دون ان يترتب على الفريق الاول اية تبعات مالية او قانونية نتيجة لذلك.</t>
  </si>
  <si>
    <t>ث‌.     ينتهي عقد الوكالة بانتهاء الغرض منه ولا يحق للطرف الثاني استغلاله مره أخرى.</t>
  </si>
  <si>
    <t xml:space="preserve">1)      من المفهوم للوكيل بان للمؤجر الحق  في أي وقت من الاوقات خلال مدة هذا العقد ان يحيل / يحول  كل او جزء من حقوقه  والتزاماته المحددة في هذا العقد للغير / لأي شخص ثالث. ("المحال له").  </t>
  </si>
  <si>
    <t>2)      يتمتع المحال له /الطرف الثالث بذات الحقوق والالتزامات التي للمؤجر تجاه الوكيل كما لو انه كان طرفاً في هذا العقد.</t>
  </si>
  <si>
    <t xml:space="preserve">3)      وللغاية المبينة اعلاه يتعهد الوكيل بتزويد الفريق الاول باي وثائق يطلبها الاخير لكي يتمكن  الفريق الاول من القيام  بنقل و/او احالة اي من الحقوق والالتزامات الواردة في هذا العقد الى الغير وفقا لأحكام هذا البند من هذا العقد. </t>
  </si>
  <si>
    <t>أ‌.           ان اية اخطارات او مراسلات/خطابات تتم وفقاَ لهذا العقد يجب ان تكون خطية ما لم يتم الاتفاق على غير ذلك من قبل الفريقين، وعلى ان يتم ارسالها الى العناوين المحددة  لكل من الفريقين والموضحة في هذا العقد أو تلك العناوين التي يحددها الفريقين من وقت لآخر على ان كل من الفريقين ملزما بإبلاغ الفريق الاخر عن عنوانه الجديد خلال اسبوع من تغييره وبخلاف ذلك فان التبليغ على العنوان القديم يعتبر قد تم بشكل اصولي. كما انه من الممكن ان يتم تسليم الإخطارات او المراسلات باليد او عن طريق الفاكس وتكون مرفقة  بإقرار بالاستلام او من خلال البريد المسجل او البريد السريع.</t>
  </si>
  <si>
    <t>ب‌.         عند ارسال أي اخطار او استدعاء او طلب او غيرها من وسائل الاتصال عبر التيليكس او الفاكس، فانه يجب تبعا لذلك ارسال  نسخة اصلية عنها للمرسل اليه مصحوبة بإقرار بالاستلام او من خلال البريد.</t>
  </si>
  <si>
    <t>ت‌.          من المفهوم لفريقي هذا العقد بان  جميع الاتصالات والاخطارات والوثائق التي تتم او  تنقل من قبل الاطراف لبعضهم بعضا وفق هذا العقد يمكن ان تكون  باللغة العربية او الانجليزية.</t>
  </si>
  <si>
    <t xml:space="preserve">2.         يوافق الوكيل بشكل قطعي ولا رجعة عنه على صلاحية محاكم فلسطين في نظر وفصل أية دعاوى او منازعات  ناشئة عن هذا العقد. </t>
  </si>
  <si>
    <t xml:space="preserve">1-     لا يعتد باي تعديل يجرى على أي من احكام هذا العقد ولا يعتبر نافذا ما لم يكن مقرونا بتوقيع كلا الفريقين بما يفيد موافقتهما الخطية على هذا التعديل. </t>
  </si>
  <si>
    <t>2-     من المفهوم لفريقي هذا العقد بان تنازل الفريق الاول او تأخره في المطالبة او المباشرة  باي من حقوقه او صلاحياته الناشئة عن هذا العقد، بما فيها حقوقه المتعلقة بالتعويض،  لا يعتبر تخليا او تنازلا عن تلك الحقوق او الصلاحيات،  ولا يخل بحق الفريق الاول بممارسة  هذا الحق او الصلاحية لاحقا، وان التطبيق الجزئي لأي حق أو صلاحية من قبل الفريق الاول لا يعتبر تخليا او تنازلا عن هذا الحق باي حال من الاحوال.</t>
  </si>
  <si>
    <t>3-     تعتبر الحقوق والصلاحيات المحددة  بموجب هذا العقد جزءا من حقوق وصلاحيات الفريق الاول  المنصوص عليه في القانون وان التوقيع على هذا العقد لا يشكل تنازلا من الفريق الاول عن اي من الحقوق الاخرى المترتبة بموجب القوانين النافذة.</t>
  </si>
  <si>
    <t xml:space="preserve">4-     من المفهوم للفريق الثاني بانه وفي حال اعتبر أي  شرط من شروط هذا العقد في أي وقت باطلا وفقا لاحكام القانون، فان ذلك ليس من شانه ان يبطل هذا العقد،  حيث يسقط الشرط الباطل،  وتبقى باقي احكام وشروط العقد نافذة. </t>
  </si>
  <si>
    <r>
      <t xml:space="preserve">5-     </t>
    </r>
    <r>
      <rPr>
        <b/>
        <sz val="11"/>
        <color theme="1"/>
        <rFont val="Simplified Arabic"/>
        <family val="1"/>
      </rPr>
      <t>الافصاح عن المعلومات</t>
    </r>
  </si>
  <si>
    <t>1.      للمدققين والمستشارين القانونيين وغيرهم من المستشارين المهنيين الخاصين بالفريق الاول؛</t>
  </si>
  <si>
    <t>2.      لأي طرف ثالث في حال تم  احالة او  نقل حقوق الفريق الاول والتزاماته ضمن هذا العقد للغير / لأي لطرف الثالث.</t>
  </si>
  <si>
    <t>3.      لأية سلطة حكومية تابعة لأي دولة أجنبية، والتي لها سلطة الاشراف والرقابة على الفريق الاول وشريكه/ شركائه، ولأي سلطة حكومية  او جهة رقابية لها سلطة الاشراف والرقابة على الفريق الاول وشركاءه في فلسطين وذلك لغايات امتثال الفريق الاول وشريكه/ شركاؤه لمتطلبات القوانين والتعليمات المطبقة في فلسطين.</t>
  </si>
  <si>
    <t>4.      لأي محكمة فلسطينية او جهة قضائية مختصة.</t>
  </si>
  <si>
    <t>5.      لمركز ادارة الفريق الاول او لفروعه في فلسطين او خارجها.</t>
  </si>
  <si>
    <t>6-     يقر الفريق الثاني بانه يتمتع بصلاحية التوقيع على هذا العقد وانه يتحمل كامل المسؤولية القانونية و/او المالية في مواجهة الفريق الاول او الغير في حال ثبت خلاف ذلك.</t>
  </si>
  <si>
    <t>7-     يتكون هذا العقد من مقدمة ومواد بما فيها هذا البند من هذه المادة وقد جرى تحريره والتوقيع عليه من قبل الفرقاء على نسختين في هذا اليوم الموافق .................................... بتاريخ      /    /    م وبيد كل واحد منهم نسخة عنه.</t>
  </si>
  <si>
    <t>بموجب هذا العقد قام الموكل/الفريق الاول بتعيين الفريق الثاني كوكيل او نائب عنه للقيام بالخدمات محل هذا العقد كما وافق الوكيل على القيام بالخدمات نيابة عن الفريق الاول ووفقا لشروط هذا العقد.</t>
  </si>
  <si>
    <t xml:space="preserve">في حال حدوث أي من حالات الاخلال المذكورة في البند اعلاه من هذا العقد يكون للمؤجر الحق وبعد اشعار الوكيل خطيا، اتخاذ اي او كل من الإجراءات التالية: </t>
  </si>
  <si>
    <t xml:space="preserve">ث‌.     يلتزم الفريق الأول بتحويل الدفعات المالية للفريق الثاني حسب الشروط المذكورة في ملحق هذا العقد (                           ) كما وتدفع الدفعة الثانية (                              ) بعد تحقق الفريق الثاني من مطابقة العين للمواصفات المطلوبة واثبات جاهزيتها للشحن والتصدير الى فلسطين.  </t>
  </si>
  <si>
    <r>
      <t>حيث ان الفريق الاول كان قد تعاقد مع الفريق الثاني بموجب عقد وعد بالاستئجار المقترن بوعد الشراء والتاجير الموقع فيما بينهما بتاريخ     /    /       والمشار اليه لاحقا بـ (عقد وعد بالاستئجار) لتأجير الاخير العين موضوع هذا الإتفاق والموصوف في الملحق "رقم 1- مواصفات العين وشروط الدفع والتوريد" والمشار اليها لاحقا بـ "</t>
    </r>
    <r>
      <rPr>
        <b/>
        <sz val="11"/>
        <color theme="1"/>
        <rFont val="Simplified Arabic"/>
        <family val="1"/>
      </rPr>
      <t>العين</t>
    </r>
    <r>
      <rPr>
        <sz val="11"/>
        <color theme="1"/>
        <rFont val="Simplified Arabic"/>
        <family val="1"/>
      </rPr>
      <t>"، وبما ان الفريق الاول يرغب بتفويض الفريق الثاني بحيث يكون الاخير وكيلا عنه  للقيام  بكافة الخدمات المحددة بموجب هذا العقد.</t>
    </r>
  </si>
  <si>
    <t>12-    يلتزم الفريق الثاني بالقيام بإجراءات الفحص والمعاينة من خلال طواقم فنية مختصة  للاجهزة للتحقق من مطابقتها للشروط والمواصفات المتفق عليها في هذا العقد و/أو ملحق/ملاحق هذا العقد و/او بموجب عقد الوعد بالاستئجار المقترن بوعد الشراء والتأجير وملاحقه ذلك قبل شحن الماكينات الى فلسطين ولغاية استلامها بعد الشحن وتشغيلها في مقر الفريق الثاني و/أو اي مكان متفق عليه مع الفريق الاول او سيتم الاتفاق عليه لاحقا وحيث ان الفريق الثاني قام بالتعاقد على شراء هذه الماكينات باعتباره وكيلا عن الفريق الاول ومن المورد الذي اختاره بنفسه فلا يحق له الرجوع على الفريق الاول بضمان العيوب الخفية او الظاهرة او بضمان الاستحقاق حيث من المفهوم للفريق الثاني ان عليه واجب التحقق من خلو العين محل هذا العقد من اي عيوب واقعية او قانونية وانها مطابقة للمواصفات التي حددها.</t>
  </si>
  <si>
    <t>1.          من المتفق عليه بين الفريقين بان تفسير هذا العقد او اي من عقود/ وثائق شركة اجارة التي تم التوقيع عليها بالاستناد الى هذا العقد بالإضافة الى تنفيذها او تطبيقها او صلاحيتها تكون خاضعة للقوانين سارية في فلسطين وبما لا يخالف مبادئ الشريعة.</t>
  </si>
  <si>
    <t>كمبيالة رقم (1)</t>
  </si>
  <si>
    <t>كمبيالة رقم (2)</t>
  </si>
  <si>
    <t>كمبيالة رقم (3)</t>
  </si>
  <si>
    <t>كمبيالة رقم (4)</t>
  </si>
  <si>
    <t>واحد</t>
  </si>
  <si>
    <t>عشر</t>
  </si>
  <si>
    <t>مئة</t>
  </si>
  <si>
    <t>الف</t>
  </si>
  <si>
    <t>عشر الاف</t>
  </si>
  <si>
    <t>مئة الف</t>
  </si>
  <si>
    <t>مليون</t>
  </si>
  <si>
    <t>اثنان</t>
  </si>
  <si>
    <t>عشرون</t>
  </si>
  <si>
    <t>مئتا</t>
  </si>
  <si>
    <t>الفان</t>
  </si>
  <si>
    <t>عشرون الف</t>
  </si>
  <si>
    <t>مئتا الف</t>
  </si>
  <si>
    <t>مليونا</t>
  </si>
  <si>
    <t>ثلاثة</t>
  </si>
  <si>
    <t>ثلاثون</t>
  </si>
  <si>
    <t>ثلاثمائة</t>
  </si>
  <si>
    <t>ثلاثة الاف</t>
  </si>
  <si>
    <t>ثلاثة مئة الف</t>
  </si>
  <si>
    <t>ثلاثون الف</t>
  </si>
  <si>
    <t>ثلاثة مليون</t>
  </si>
  <si>
    <t>العمود</t>
  </si>
  <si>
    <t>ستة</t>
  </si>
  <si>
    <t>خمسة</t>
  </si>
  <si>
    <t>اربعة</t>
  </si>
  <si>
    <t>سبعة</t>
  </si>
  <si>
    <t>ثمانية</t>
  </si>
  <si>
    <t>تسعة</t>
  </si>
  <si>
    <t>التفقيط</t>
  </si>
  <si>
    <t>اربعون</t>
  </si>
  <si>
    <t>اربعمائة</t>
  </si>
  <si>
    <t>اربعون الف</t>
  </si>
  <si>
    <t>اربعمائة الف</t>
  </si>
  <si>
    <t>اربعة مليون</t>
  </si>
  <si>
    <t>خمسون</t>
  </si>
  <si>
    <t>خمسمائة</t>
  </si>
  <si>
    <t>خمسة الاف</t>
  </si>
  <si>
    <t>خمسمائة الف</t>
  </si>
  <si>
    <t>خمسون الف</t>
  </si>
  <si>
    <t>خمسة مليون</t>
  </si>
  <si>
    <t>ستون</t>
  </si>
  <si>
    <t>ستمائة</t>
  </si>
  <si>
    <t>ستون الف</t>
  </si>
  <si>
    <t>ستة الاف</t>
  </si>
  <si>
    <t>ستمائة الف</t>
  </si>
  <si>
    <t>ستة مليون</t>
  </si>
  <si>
    <t>سبعون</t>
  </si>
  <si>
    <t>سبعمائة</t>
  </si>
  <si>
    <t>سبعون الف</t>
  </si>
  <si>
    <t>اربعة الاف</t>
  </si>
  <si>
    <t>سبعة الاف</t>
  </si>
  <si>
    <t>سبعمائة الف</t>
  </si>
  <si>
    <t>سبعة مليون</t>
  </si>
  <si>
    <t>ثمانون</t>
  </si>
  <si>
    <t>ثمانمائة</t>
  </si>
  <si>
    <t>ثمانون الف</t>
  </si>
  <si>
    <t>ثمانية الاف</t>
  </si>
  <si>
    <t>ثمانمائة الف</t>
  </si>
  <si>
    <t>ثمانية مليون</t>
  </si>
  <si>
    <t>تسعون</t>
  </si>
  <si>
    <t>تسعمائة</t>
  </si>
  <si>
    <t>تسعمائة الاف</t>
  </si>
  <si>
    <t>تسعمائة الف</t>
  </si>
  <si>
    <t>تسعون الف</t>
  </si>
  <si>
    <t>تسعة مليون</t>
  </si>
  <si>
    <t>الرقم / المنزلة</t>
  </si>
  <si>
    <t>الاولى</t>
  </si>
  <si>
    <t>الثانية</t>
  </si>
  <si>
    <t>الثالثة</t>
  </si>
  <si>
    <t>الرابعة</t>
  </si>
  <si>
    <t>الخامسة</t>
  </si>
  <si>
    <t>السادسة</t>
  </si>
  <si>
    <t>السابعة</t>
  </si>
  <si>
    <t>التفقيط بالترتيب</t>
  </si>
  <si>
    <r>
      <t>الفريق الثاني: شركة الإجارة الفلسطينية والمسجلة تحت الرقم (562528679)، وعنوانها لغايات التبليغ شارع المصايف الإرسال/ رام الله، دولة فلسطين بواسطة المفوض بالتوقيع عنها ويشار إليها لاحقا في هذا العقد بـ "الفريق الثاني /المشتري"، حيث</t>
    </r>
    <r>
      <rPr>
        <sz val="14"/>
        <color theme="1"/>
        <rFont val="Times New Roman"/>
        <family val="1"/>
      </rPr>
      <t xml:space="preserve"> أن الفريق الأول شركة تعمل في مجال التجارة والتوريد وغيرها من الأنشطة الأخرى المرتبطة بها، وحيث أن الفريق الثاني شركة تعمل في مجال التأجير والتأجير المنتهي بالتمليك ويرغب بالتعاقد مع الفريق الأول لشراء العين المصوفة في (الجدول رقم 1-المواصفات الكمية والنوعية للعين</t>
    </r>
    <r>
      <rPr>
        <b/>
        <sz val="14"/>
        <color theme="1"/>
        <rFont val="Times New Roman"/>
        <family val="1"/>
      </rPr>
      <t xml:space="preserve"> </t>
    </r>
    <r>
      <rPr>
        <sz val="14"/>
        <color theme="1"/>
        <rFont val="Times New Roman"/>
        <family val="1"/>
      </rPr>
      <t xml:space="preserve">(بند رقم 3 )) والمشار إليها فيما يلي بـ </t>
    </r>
    <r>
      <rPr>
        <b/>
        <sz val="14"/>
        <color theme="1"/>
        <rFont val="Times New Roman"/>
        <family val="1"/>
      </rPr>
      <t>"العين"</t>
    </r>
    <r>
      <rPr>
        <sz val="14"/>
        <color theme="1"/>
        <rFont val="Times New Roman"/>
        <family val="1"/>
      </rPr>
      <t xml:space="preserve"> ليقوم الفريق الثاني بتأجيرها تأجيراً منتهياً بالتمليك للسيد/ السادة المشار إليه فيما يلي بـ "المستأجر" والمذكور في</t>
    </r>
    <r>
      <rPr>
        <b/>
        <sz val="14"/>
        <color theme="1"/>
        <rFont val="Times New Roman"/>
        <family val="1"/>
      </rPr>
      <t xml:space="preserve"> </t>
    </r>
    <r>
      <rPr>
        <sz val="14"/>
        <color theme="1"/>
        <rFont val="Times New Roman"/>
        <family val="1"/>
      </rPr>
      <t>الجدول رقم1- المواصفات الكمية والنوعية للعين (بند رقم 2) وذلك وفقا للشروط والأحكام المتفق عليها فيما بين المشتري والمستأجر بموجب عقد وعد الإستئجار المقترن بوعد الشراء والتأجير الموقع فيما بينهما بالتاريخ المذكور في (الجدول رقم- 1المواصفات الكمية والنوعية للعين البند (1)) في الجدول الملحق بهذا العقد بإعتباره جزءاً لا يتجزأ منه، وبما أن الفريق الأول أبدى إستعداده التام  لتوفير العين المتعاقد عليها وفقا للشروط والمواصفات المتفق عليها في هذه الاتفاقية وأي من ملاحقها ومرفقاتها بما فيها وصف محددات الكمية والنوعية والمعدات الكاملة وحالة العين والمشار إليها لاحقا بجدول المواصفات الكمية والنوعية للعين والذي يعتبر جزء لا يتجزأ منها، وبما أن كلا الفريقين قد أبدى إستعداده  للتعاقد مع الآخر، فقد تم الاتفاق بين الفريقين على الشروط والأسس والأحكام الآتية:</t>
    </r>
  </si>
  <si>
    <t xml:space="preserve">ملحق رقم (1)- جدول الدفعات </t>
  </si>
  <si>
    <t xml:space="preserve"> (د) في حال وقوع اي من حالات الاخلال المنصوص عليها في عقد وعد بالاستئجار المقترن بوعد الشراء والتأجير.</t>
  </si>
  <si>
    <t xml:space="preserve"> (أ) مخالفة الفريق الثاني / الوكيل لشروط واحكام هذا العقد و/او الامتناع عن تنفيذها و/او تنفيذها بشكل ناقص معيب. </t>
  </si>
  <si>
    <t>العين المؤجرة: تعني العين المؤجرة محل هذا العقد والتي تشمل أيضا (جميع قطع الغيار، الإضافات، والأكسسوارات التابعة للعين المؤجرة ) الموصوفة وصفا تاماً في وصف العين المؤجرة المبينة في الجدول المشار اليه اعلاه.</t>
  </si>
  <si>
    <t>الفريق الأول                                                  الفريق الثاني</t>
  </si>
  <si>
    <t>التوقيع:_____________                               التوقيع:________________</t>
  </si>
  <si>
    <t>عمولة البنك ومصاريف اخرى:</t>
  </si>
  <si>
    <t>old</t>
  </si>
  <si>
    <t>Insurance Scenario</t>
  </si>
  <si>
    <t>الفترة بالتواريخ</t>
  </si>
  <si>
    <t>الفترة (شهر)</t>
  </si>
  <si>
    <t>الشيكات المرتجعة</t>
  </si>
  <si>
    <t>معدل الايداع الشهري</t>
  </si>
  <si>
    <t>الحركة</t>
  </si>
  <si>
    <t>المجموع</t>
  </si>
  <si>
    <t xml:space="preserve">، وحيث انني كنت قد قمت بتحرير مجموعه من الشيكات / الكمبيالات تامينا للمديونية المستحقة و/او التي قد تستحق بذمتي تجاه شركة الإجارة الفلسطينية عدد   1  /  2  /  3  /  4  /  5  /  6   ذات الرقم / الارقام 1 + 2 + 3 + 4 + 5 + 6 بصورة اصولية وقانونية دون ان يتم تثبيت تاريخ استحقاق على اي منها فانني اقر واصرح واتعهد وانا بكامل الصفات المعتبر شرعا وقانونا بما يلي: </t>
  </si>
  <si>
    <t>تأمين على حياة الزبون حيث عمره 60 عام فاكثر</t>
  </si>
  <si>
    <t>تم تمويل الزبون بقيمة _____ لشراء _____ يسدد بواقع ___ شهر بقسط ______، وتم سداد ____ قسط لغاية تاريخه ورصيده القائم _____.</t>
  </si>
  <si>
    <t>مدير المخاطر: يزن نزال</t>
  </si>
  <si>
    <t>عملة الفاتورة:</t>
  </si>
  <si>
    <t>السنة</t>
  </si>
  <si>
    <t>الشهر</t>
  </si>
  <si>
    <t>اليوم</t>
  </si>
  <si>
    <t>حجم المحرك</t>
  </si>
  <si>
    <t>التأمين الالزامي</t>
  </si>
  <si>
    <t>&lt;1001</t>
  </si>
  <si>
    <t>&lt;1501</t>
  </si>
  <si>
    <t>&lt;2001</t>
  </si>
  <si>
    <t>&lt;10000</t>
  </si>
  <si>
    <t>1.75% من قيمة السيارة</t>
  </si>
  <si>
    <t>التأمين الشامل</t>
  </si>
  <si>
    <t>تأجير تمويلي منتهي بالتمليك</t>
  </si>
  <si>
    <t>قيمة الدخل</t>
  </si>
  <si>
    <t>معكوس على الحساب البنكي</t>
  </si>
  <si>
    <t>غير معكوس لدى الحساب البنكي</t>
  </si>
  <si>
    <t>النتيجة</t>
  </si>
  <si>
    <t>الفئة</t>
  </si>
  <si>
    <t>تقييم الدخل</t>
  </si>
  <si>
    <t>تاريخ التعامل مع اجارة</t>
  </si>
  <si>
    <t>الكفيل الاول</t>
  </si>
  <si>
    <t>تصنيفه على الشيكات</t>
  </si>
  <si>
    <t>الالتزامات الشهرية</t>
  </si>
  <si>
    <t>عبء الدين (شامل اجارة)</t>
  </si>
  <si>
    <t>الكفيل الثاني</t>
  </si>
  <si>
    <t>قيمة الاصل</t>
  </si>
  <si>
    <t>مبلغ التمويل</t>
  </si>
  <si>
    <t>نسبة الربح - العادي</t>
  </si>
  <si>
    <t>نسبة الربح - المعدل</t>
  </si>
  <si>
    <t>IRR - constant</t>
  </si>
  <si>
    <t>IRR - revised</t>
  </si>
  <si>
    <t>فترة العقد بالاشهر</t>
  </si>
  <si>
    <t>فترة التوريد بالاشهر</t>
  </si>
  <si>
    <t>فترة السماح بالاشهر</t>
  </si>
  <si>
    <t>عدد أقساط الاجارة الشهرية</t>
  </si>
  <si>
    <t>الشروط والضمانات</t>
  </si>
  <si>
    <t>استعلام المحاكم</t>
  </si>
  <si>
    <t>معتمد</t>
  </si>
  <si>
    <t>غير معتمد</t>
  </si>
  <si>
    <t>قسط الاجارة</t>
  </si>
  <si>
    <t>زبون قائم وملتزم بالسداد</t>
  </si>
  <si>
    <t>زبون قائم وغير ملتزم بالسداد</t>
  </si>
  <si>
    <t>زبون جديد</t>
  </si>
  <si>
    <t>الدين القائم بحسب الاستعلام</t>
  </si>
  <si>
    <t>العلية</t>
  </si>
  <si>
    <t>الاجارة المطلوبة</t>
  </si>
  <si>
    <t>عدد الشيكات المصدرة</t>
  </si>
  <si>
    <t>عدد الشيكات المرفوضة</t>
  </si>
  <si>
    <t>النتيجة بالوزن</t>
  </si>
  <si>
    <t>جهة العمل</t>
  </si>
  <si>
    <t>البند</t>
  </si>
  <si>
    <t>hide</t>
  </si>
  <si>
    <t xml:space="preserve">1) </t>
  </si>
  <si>
    <t xml:space="preserve">3) </t>
  </si>
  <si>
    <t xml:space="preserve">2) </t>
  </si>
  <si>
    <t xml:space="preserve">4) </t>
  </si>
  <si>
    <t xml:space="preserve">5) </t>
  </si>
  <si>
    <t xml:space="preserve">6) </t>
  </si>
  <si>
    <t xml:space="preserve">7) </t>
  </si>
  <si>
    <t xml:space="preserve">8) </t>
  </si>
  <si>
    <t xml:space="preserve">9) </t>
  </si>
  <si>
    <t xml:space="preserve">10) </t>
  </si>
  <si>
    <t xml:space="preserve">11) </t>
  </si>
  <si>
    <t>نتائج التقرير الائتماني</t>
  </si>
  <si>
    <t>مدير المبيعات: أمجد خلف</t>
  </si>
  <si>
    <t>التقرير الائتماني المفصّل</t>
  </si>
  <si>
    <t>نسبة تغطية الضمانات للتمويل</t>
  </si>
  <si>
    <t>التقييم:</t>
  </si>
  <si>
    <t>الزبون ملتزم بالسداد</t>
  </si>
  <si>
    <t>فترة العمل (عام):</t>
  </si>
  <si>
    <t>فترة العمل (عام)</t>
  </si>
  <si>
    <t>دخل اضافي</t>
  </si>
  <si>
    <t>التحليل الائتماني</t>
  </si>
  <si>
    <t>عواطف مصطفى</t>
  </si>
  <si>
    <t>رام الله</t>
  </si>
  <si>
    <t>تاريخ التسجيل:</t>
  </si>
  <si>
    <t>التقرير الائتماني</t>
  </si>
  <si>
    <t>توصية دائرة الائتمان</t>
  </si>
  <si>
    <t xml:space="preserve">عضو مجلس إدارة : عبد الرؤوف علاونة </t>
  </si>
  <si>
    <t xml:space="preserve">الموافقة على منح العميل تمويل ايجارة منتهية بالتمليك لشراء سيارة من نوع ________ موديل _______ بقيمة اجمالية ________ دولار بدفعة مقدمة بقيمة ________ دولار وتشكل ما نسبته _____ من قيمة التمويل ليصبح صافي التمويل بقيمة _______ دولار , يسدد بموجب ___ قسطا شهريا متساويا
وذلك بالشروط والضمانات التالية : -
1. 
</t>
  </si>
  <si>
    <t>ملاحظات الائتمان</t>
  </si>
  <si>
    <t xml:space="preserve">الدفعة الأولى </t>
  </si>
  <si>
    <t>عدد الدفعات الشهرية</t>
  </si>
  <si>
    <t xml:space="preserve">القسط الشهري </t>
  </si>
  <si>
    <t>قيمة السيارة</t>
  </si>
  <si>
    <t>العين المأجورة</t>
  </si>
  <si>
    <t xml:space="preserve">مرسيدس بنز فئة GLA200-2019   </t>
  </si>
  <si>
    <t xml:space="preserve">مرسيدس بنز فئة GLC200-2019   </t>
  </si>
  <si>
    <t>أجهزة طبية</t>
  </si>
  <si>
    <t>220,000$</t>
  </si>
  <si>
    <t>مدير الائتمان : عنه/ عبد الله قاسم</t>
  </si>
  <si>
    <t>الكفيل الأول</t>
  </si>
  <si>
    <t>نموذج التوقيع</t>
  </si>
  <si>
    <t>كما أنني/ نحن ككفيل/ كفلاء للسيد......................، على طلب التسهيلات المقدم من طـرفه بقيمة....................، نفوض الشركة و/او  البنك بالاستعلام والتصريح عني/ عنا للسادة سلطة النقد الفلسطينية وذلك إلى حين تسوية كامل التزامات مكفولنا الخاضعة لهذه الكفالة دون تحمل البنك أدنى مسؤولية.</t>
  </si>
  <si>
    <t>أنا/ نحن........................... الموقع/ الموقعون أدناه حامل هوية/ جواز سفر/ سـجل تجاري رقم........................ أقر/نقر بصحة كافة البيانات الواردة بطلب الحصول على تسهيلات المقدم من طرفي وأفوض/ نفوض السادة شركة الاجارة الفلسطينية و/او  البنك الإسلامي الفلسطيني بالتأكد والتحقق من كافة البيانات المقدمة لهم من أية جهة ترتأيها الشركة وا/او البنك وبتبادل المعلومات الشخصية والائتمانية مع سلطة النقد اعتباراً من تاريخه وحتى انتهاء كافة التزاماتي تجاه المصرف دون تحمل البنك أدنى مسؤولية.</t>
  </si>
  <si>
    <t>26.16  يتحمل المستأجر ( الفريق الثاني) كافة الضرائب  التجارية والفردية المترتبة على العين المؤجرة سواء كان المستأجر فرد او شركة وذلك طوال فترة سريان هذا العقد لدى كافة الجهات الرسمية.</t>
  </si>
  <si>
    <r>
      <rPr>
        <sz val="12"/>
        <color theme="1"/>
        <rFont val="Times"/>
        <family val="1"/>
      </rPr>
      <t>26.17</t>
    </r>
    <r>
      <rPr>
        <sz val="12"/>
        <color theme="1"/>
        <rFont val="CG Times"/>
        <family val="1"/>
      </rPr>
      <t xml:space="preserve"> </t>
    </r>
    <r>
      <rPr>
        <sz val="12"/>
        <color theme="1"/>
        <rFont val="Times New Roman"/>
        <family val="1"/>
      </rPr>
      <t>يقر كل من الطرفين أنه قد اطلع على هذا العقد قبل توقيعه وانه قد تفهم جميع أحكامه وشروطه، وأنه قد تم  تحرير وتوقيع هذا العقد على نسختين من قبل المستأجر والمؤجر أو ممثليهما القانونيين بإرادة حرة خالية من العيوب، وقد إستلم كل طرف نسخة واحدة من هذا العقد.</t>
    </r>
    <r>
      <rPr>
        <sz val="12"/>
        <color theme="1"/>
        <rFont val="CG Times"/>
        <family val="1"/>
      </rPr>
      <t xml:space="preserve"> </t>
    </r>
  </si>
  <si>
    <t>مكان الدفع: __________________/ مدينة رام الله</t>
  </si>
  <si>
    <t>الصفة التعاقدية: مستأجر</t>
  </si>
  <si>
    <t>التوقيع:ـــــــــــــــــــــــــــــــــــــــــــــــــــــــــــــــــــــــــــــــــــــــــــــــــــــــــــــــــــــــــــــــــ</t>
  </si>
  <si>
    <t xml:space="preserve"> توقيع المدين </t>
  </si>
  <si>
    <t>تفويض بتعبئة بيانات</t>
  </si>
  <si>
    <t xml:space="preserve">المفوض له: شركة الاجارة الفلسطينية المساهمة الخصوصية المحدودة، المسجلة تحت الرقم (562528679)  لدى وزارة الاقتصاد الوطني الفلسطيني. </t>
  </si>
  <si>
    <t xml:space="preserve">  توقيع المفوض </t>
  </si>
  <si>
    <t xml:space="preserve">توقيع المفوض له </t>
  </si>
  <si>
    <t>اتعهد انا المذكورة أعلاه بدفع  لأمر شركة الاجارة الفلسطينية المساهمة الخصوصية المحدودة المسجلة لدى مراقب الشركات تحت الرقم (562528679) ، مبــــلغ وقــدره  ( _______ارقام____)   (_______حروف______) فقط لا غير ، وقيمتها هذه  وصلتني نقداً التزم بدفع قيمتها بتاريخ الاستحقاق دون الحاجة إلى أي إنذار أو إخطار مسبق وإني أسقط حقي بطلب توجيه الاحتجاج لعدم الدفع في ميعاد الاستحقاق وما بعده سواء تجاه الدائن أو المظهر / المظهرين و/أو الكفيل وأية خيارات قانونية أخرى كما و أسقط حقي  بالإدعاء بيمين كذب الإقرار و/أو الدفع بعدم القبول و/أو الوفاء و/أو أي دفع شكلي و/أو موضوعي حول ما جاء في هذه الكمبيالة /السند والأمور الناشئة عنه.</t>
  </si>
  <si>
    <t xml:space="preserve">7.8 يقر المستأجر انه قد عاين العين وقام بفحصة لدى المراكز الهندسية المختصة وأنه هو من اختار العين المؤجرة وأن المؤجر قد مكن المسـتأجر من أجراء كافة الفحوص حسب الاصول والقانون. </t>
  </si>
  <si>
    <t>من المتفق عليه بين الفريقين أنه يمكن للمستأجر، وفي أي وقت من الأوقات، وشريطة إشعار المؤجر خطياً بإشعار غير قابل للرجوع من طرفه قبل ثلاثين (30) يوم عمل على الأقل، أن يقوم بدفع جزء أو كامل بدل الإيجار القائم / غيرالمسدد، ومن خلال الالتزام بجدول السداد المرفق بالعقد ومن المفهوم للمستأجر أن الدفعة المبكرة  النهائية لسداد العقد يجب ان تشمل باقي الأقساط غير المسددة حسب جدول الدفعات المرفق بالعقد – ) في حاله السداد الكلي للعقد  اما في حالة السداد الجزئي فانه يجب اصدار جدول سداد جديد للاقساط المتبقية في حال تم السداد بشكل جزئي للعقد وان يمل كافة الرسوم والمصاريف لدى هيئة سوق راس المال واجراءات التنازل امام الدوائر الحكومية..</t>
  </si>
  <si>
    <t>16.8 بموجب هذا العقد وكضمان للمؤجر في حالة عدم التنفيذ  و/أو في حال تقصير المستأجر في  تنفيذ إلتزاماته المنصوص عليها في عقد التأجير وملاحقه ومرفقاته، فقد قام الكفيل بالتوقيع حسب الأصول على كمبيالة غب الطلب او محددة التاريخ او مفوض المؤجر بتعبئة بيانات التاريخ بالقيمة التي يحددها المؤجر بإرادته المنفردة غير قابلة للرجوع أو الطعن والتي يحتفظ بها المؤجر، والتي تعتبر نافذة وواجبة الأداء، دون الحاجة إلى اللجوء إلى الوسائل القانونية.</t>
  </si>
  <si>
    <t>19.3 إذا لم يكن الهلاك الجزئي بسبب فعل / تقصير المستأجر، فيجب على المؤجر أن يسمح للمستأجر أو الوكيل باللجوء لشركة التأمين المؤمنة لإصلاح العين المؤجرة.</t>
  </si>
  <si>
    <r>
      <t xml:space="preserve">20.3 يحق للمؤجر تقديم العين المؤجرة كضمان من أجل الحصول على قروض أو رهن بدون موافقة خطية مسبقة من الطرف الآخر ويعتبر توقيع المستأجر على هذا العقد اقرار بموافقته على هذا الاجراء. </t>
    </r>
    <r>
      <rPr>
        <sz val="12"/>
        <color theme="1"/>
        <rFont val="CG Times"/>
        <family val="1"/>
      </rPr>
      <t xml:space="preserve">. </t>
    </r>
  </si>
  <si>
    <t>22.4.1 عدم قيام المستأجر بسداد دفعة من دفعات الإيجار لمدة شهر واحد وفقا لجدول الدفعات.</t>
  </si>
  <si>
    <t xml:space="preserve">22.4.2 قيام المستأجر بإستخدام العين المؤجرة بصورة مخالفة لشروط هذا العقد أو لغير الغاية المحددة في هذا العقد ، و/ أو أن يقوم بإتلاف العين المؤجرة أو التسبب في هلاكها، او عدم تأمينها أو ترخيصا ان كان الالتزام عليه بذلك  أو أن يقوم بدون الحصول على موافقة المؤجر الخطية المسبقة بإحالة الحقوق المتعلقة بالعين المؤجرة للغير أو أن يقوم بتأجير العين المؤجرة من الباطن أوأن يسمح للغير بإستخدامها أو أن يقوم بإثقالها بأية إلتزامات أو حقوق للغير. </t>
  </si>
  <si>
    <t>من المتفق عليه بين الفريقين أنه يمكن للمستأجر، وفي أي وقت من الأوقات، وشريطة إشعار المؤجر خطياً بإشعار غير قابل للرجوع من طرفه قبل ثلاثين (30) يوم عمل على الأقل، أن يقوم بدفع جزء أو كامل بدل الإيجار القائم / غيرالمسدد، ومن خلال الالتزام بجدول السداد المرفق بالعقد ومن المفهوم للمستأجر أن الدفعة المبكرة  النهائية لسداد العقد يجب ان تشمل باقي الأقساط غير المسددة حسب جدول الدفعات المرفق بالعقد – ) في حاله السداد الكلي للعقد  اما في حالة السداد الجزئي فانه يجب اصدار جدول سداد جديد للاقساط المتبقية في حال تم السداد بشكل جزئي للعقد وان يمل كافة الرسوم والمصاريف لدى هيئة سوق راس المال واجراءات التنازل امام الدوائر الحكومية.</t>
  </si>
  <si>
    <t xml:space="preserve">22.4.2 قيام المستأجر بإستخدام العين المؤجرة بصورة مخالفة لشروط هذا العقد أو لغير الغاية المحددة في هذا العقد ، و/ أو أن يقوم بإتلاف العين المؤجرة أو التسبب في هلاكها، او عدم تأمينها أو ترخيصا ان كان الالتزام عليه بذلك أو أن يقوم بدون الحصول على موافقة المؤجر الخطية المسبقة بإحالة الحقوق المتعلقة بالعين المؤجرة للغير أو أن يقوم بتأجير العين المؤجرة من الباطن أوأن يسمح للغير بإستخدامها أو أن يقوم بإثقالها بأية إلتزامات أو حقوق للغير. </t>
  </si>
  <si>
    <t>المدير العام: إبراهيم عيسى</t>
  </si>
  <si>
    <t>قيمة مبلغ السداد المبكر</t>
  </si>
  <si>
    <t xml:space="preserve">مكان العمل </t>
  </si>
  <si>
    <t xml:space="preserve">طبيعة العمل </t>
  </si>
  <si>
    <t xml:space="preserve">طبيعة النشاط للمستأجر </t>
  </si>
  <si>
    <t xml:space="preserve">عنوان المسـتأجر 
السكن/ العمل/ التبيلغ </t>
  </si>
  <si>
    <t>معدات هندسية وشاحنات ومركبات ثقيلة</t>
  </si>
  <si>
    <t>مركبات تجارية</t>
  </si>
  <si>
    <t>مركبات خاصة</t>
  </si>
  <si>
    <t>تصنيف المال المنقول الخاص</t>
  </si>
  <si>
    <t>آلات ومعدات اخرى</t>
  </si>
  <si>
    <t>آلات صناعية وخطوط انتاج</t>
  </si>
  <si>
    <t>آلات ومعدات زراعية</t>
  </si>
  <si>
    <t>المعدات الترفيهية</t>
  </si>
  <si>
    <t>المعدات الرياضية</t>
  </si>
  <si>
    <t>لوحات الطاقة الشمسية</t>
  </si>
  <si>
    <t>معدات مكتبية</t>
  </si>
  <si>
    <t>معدات طبية</t>
  </si>
  <si>
    <t>خطوط انتاج الغذاء</t>
  </si>
  <si>
    <t>تصنيف المال المنقول</t>
  </si>
  <si>
    <t xml:space="preserve">الجمعيات الخيرية والمؤسسات غير الهادفة للربح </t>
  </si>
  <si>
    <t xml:space="preserve">القطاع الحكومي وشبه الحكومي </t>
  </si>
  <si>
    <t xml:space="preserve">الاستهلاكي </t>
  </si>
  <si>
    <t>العقاري</t>
  </si>
  <si>
    <t>الانشاءات والبناء</t>
  </si>
  <si>
    <t>الماء والكهرباء والغاز والطاقة المتجددة</t>
  </si>
  <si>
    <t xml:space="preserve">القطاع الصحي </t>
  </si>
  <si>
    <t>التجارة</t>
  </si>
  <si>
    <t>الاتصالات وتكنولوجيا المعلومات</t>
  </si>
  <si>
    <t xml:space="preserve">السياحة </t>
  </si>
  <si>
    <t xml:space="preserve">الخدمات </t>
  </si>
  <si>
    <t>الصناعة والتعدين</t>
  </si>
  <si>
    <t>الزراعه والثروة الحيوانية</t>
  </si>
  <si>
    <t>تصنيف العقد حسب القطاعات</t>
  </si>
  <si>
    <t xml:space="preserve">تصنيف عقد التأجير التمويلي </t>
  </si>
  <si>
    <t>استهلاكي</t>
  </si>
  <si>
    <t xml:space="preserve">ملاحظة: هذا التفويض لمرة واحدة فقط ولأغراض الترخيص للمركبة وصالح لمدة 7 أيام من تاريخه </t>
  </si>
  <si>
    <t xml:space="preserve">المدير المالي </t>
  </si>
  <si>
    <t xml:space="preserve">المدير العام </t>
  </si>
  <si>
    <t xml:space="preserve">حامد طه </t>
  </si>
  <si>
    <t xml:space="preserve">إبراهيم عيسى </t>
  </si>
  <si>
    <t>أنا الموقع أدناه __________، أفوضشركة الاجارة الفلسطينية المساهمة الخصوصية المحدودة ، بتعبئة البيانات الناقصة في الكمبيالة رقم ___________  والمرفق صورة عنها بهذا التفويض، دون الحاجة إلى أي إنذار أو إخطار مسبق وإني أسقط حقي بأي دفع سواء تجاه المفوص له أو الدائن أو المظهر / المظهرين و/أو الكفيل وأية خيارات قانونية أخرى كما و أسقط حقي  بالإدعاء و/أو بأي دفع شكلي و/أو موضوعي حول ما جاء في هذ التفويض والأمور الناشئة عنه.</t>
  </si>
  <si>
    <t>(د) ان يقوم الفريق الثالث - (الكفلاء بالتضامن والتكافل - روان موسى صالح حسونه صاحب هوية 850491390) برهن مركبة خصوصية مزدوجة الاستعمال من انتاج كايا بيكانتو رقم شاصي KNAB3511BHT003867  موديل 2017 وتحمل رقم محرك 000861 لمصلحة شركة الاجارة الفلسطينية والمملوكة للسيدة روان موسى صالح حسونه  كضمان مقدم لمديونية الفريق الثاني، وفي حال تخلف / تعثر الفريق الثاني عن السداد يحق للفريق الاول التنفيذ على الرهن لسداد مديونية الفريق الثاني لصالح الفريق الأول.</t>
  </si>
  <si>
    <t>(ه) ان يقوم الفريق الثالث - (الكفلاء بالتضامن والتكافل - دولت فوزي حسن سالم صاحب هوية 907569164) برهن درجة أولى حصتين من اصل تسعة حصص  (البالغة 692.9 متر مربع من اصل 3 دونم و 118 م) لقطعة  ارض رقم 86 من حوض المنازل وظهر التين 2 من قرية بزاريا قضاء نابلس  والمملوكة للسيدة  دولت فوزي حسن سالم لمصلحة شركة الاجارة الفلسطينية كضمان مقدم لمديونية  الفريق الثاني وفي حال تخلف / تعثر الفريق الثاني  عن السداد يحق للفريق الأول التنفيذ على الرهن لسداد مديونية الفريق الثاني  لصالح الفريق الأول.</t>
  </si>
  <si>
    <t>اتعهد انا المذكورة أعلاه بدفع  لأمر شركة الاجارة الفلسطينية المساهمة الخصوصية المحدودة المسجلة لدى مراقب الشركات تحت الرقم (562528679) ، مبــــلغ وقــدره  ( 2,000$)   (الفي دولار) فقط لا غير ، وقيمتها هذه  وصلتني نقداً التزم بدفع قيمتها بتاريخ الاستحقاق دون الحاجة إلى أي إنذار أو إخطار مسبق وإني أسقط حقي بطلب توجيه الاحتجاج لعدم الدفع في ميعاد الاستحقاق وما بعده سواء تجاه الدائن أو المظهر / المظهرين و/أو الكفيل وأية خيارات قانونية أخرى كما و أسقط حقي  بالإدعاء بيمين كذب الإقرار و/أو الدفع بعدم القبول و/أو الوفاء و/أو أي دفع شكلي و/أو موضوعي حول ما جاء في هذه الكمبيالة /السند والأمور الناشئة عنه.</t>
  </si>
  <si>
    <t>تحريراً في       /    /</t>
  </si>
  <si>
    <t xml:space="preserve">تاريخ الاستحقاق:      /    /      
</t>
  </si>
  <si>
    <t xml:space="preserve">تحريراً في       /    / </t>
  </si>
  <si>
    <t>تكلفة التمويل (1.98%):</t>
  </si>
  <si>
    <t>منذر أحمد إبراهيم عواد</t>
  </si>
  <si>
    <t xml:space="preserve">إسماعيل محمد إسماعيل زماعره </t>
  </si>
  <si>
    <t>محمد صبحي عبد الكريم عيسى</t>
  </si>
  <si>
    <t xml:space="preserve">  Risk Mgt. -Credit risk evaluation / Early warning indicators   </t>
  </si>
  <si>
    <t xml:space="preserve"> زيد عبد الغني حسن ذياب</t>
  </si>
  <si>
    <t>7Cs:</t>
  </si>
  <si>
    <t>Indicator</t>
  </si>
  <si>
    <t>Description</t>
  </si>
  <si>
    <t xml:space="preserve">Character
Commitment
Capacity
Cash flow 
Capital
</t>
  </si>
  <si>
    <t>Customer years of experience</t>
  </si>
  <si>
    <t>More than 10 years</t>
  </si>
  <si>
    <t>Classification on returned checks system (PMA)</t>
  </si>
  <si>
    <t>E</t>
  </si>
  <si>
    <t>Existence of legal issues/ reservations on the customer</t>
  </si>
  <si>
    <t>Customer defaults on previous obligations</t>
  </si>
  <si>
    <t>Due Payments</t>
  </si>
  <si>
    <t>Days of delay</t>
  </si>
  <si>
    <t>Committed to payment</t>
  </si>
  <si>
    <t>The client has many facilities during the last 12 months</t>
  </si>
  <si>
    <t>scheduling the previous debt</t>
  </si>
  <si>
    <t>Default of facilities guaranteed by the customer</t>
  </si>
  <si>
    <t xml:space="preserve"> customer's account transaction</t>
  </si>
  <si>
    <t>Good</t>
  </si>
  <si>
    <t>Debt/ Capital</t>
  </si>
  <si>
    <t>Debt to capital ratio is medium</t>
  </si>
  <si>
    <t>Facilities granted for agricultural or tourism purposes</t>
  </si>
  <si>
    <t xml:space="preserve"> medium risk</t>
  </si>
  <si>
    <t>Collateral
($)</t>
  </si>
  <si>
    <t xml:space="preserve">Collateral </t>
  </si>
  <si>
    <t>guarantee</t>
  </si>
  <si>
    <t>PMA</t>
  </si>
  <si>
    <t xml:space="preserve"> Basel </t>
  </si>
  <si>
    <t>Real estate / whole portions</t>
  </si>
  <si>
    <t>Cars, machinery and equipment</t>
  </si>
  <si>
    <t>Gold/ silver/ precious metals</t>
  </si>
  <si>
    <t>low risk</t>
  </si>
  <si>
    <t>Expected loss($)</t>
  </si>
  <si>
    <t>E.L($)= PD×LGD×EAD</t>
  </si>
  <si>
    <t>(PD) for the client according to internal ratings based (IRB)=</t>
  </si>
  <si>
    <t xml:space="preserve">Exposure at default (EAD)($) = </t>
  </si>
  <si>
    <t>Funding required and existing+ Unpaid profits</t>
  </si>
  <si>
    <t xml:space="preserve">Loss given default (LGD) ($) = </t>
  </si>
  <si>
    <t>(EAD)-Accepted guarantees (AG)</t>
  </si>
  <si>
    <t>LGD% = LGD / EAD</t>
  </si>
  <si>
    <t xml:space="preserve"> Return risk:</t>
  </si>
  <si>
    <t xml:space="preserve"> - Rate of return(7% decreasing)</t>
  </si>
  <si>
    <t xml:space="preserve"> Cost of capital (3.32% flat) as of 12/2020</t>
  </si>
  <si>
    <t>acceptable</t>
  </si>
  <si>
    <t xml:space="preserve">conditions
Residual risks
</t>
  </si>
  <si>
    <t>Economic sector / Concentration in the sector- as of 12/2020</t>
  </si>
  <si>
    <t>Real estate and construction</t>
  </si>
  <si>
    <t>purpose of funding/ Percentage of total portfolio-as of 09/2020</t>
  </si>
  <si>
    <t>Commercial</t>
  </si>
  <si>
    <t>Type of funding</t>
  </si>
  <si>
    <t>Ijarah</t>
  </si>
  <si>
    <t>Duration of funding</t>
  </si>
  <si>
    <t>1-3 year</t>
  </si>
  <si>
    <t>Market competition</t>
  </si>
  <si>
    <t xml:space="preserve"> High competition</t>
  </si>
  <si>
    <t>Political Risk</t>
  </si>
  <si>
    <t>yes</t>
  </si>
  <si>
    <t>To mitigate risk
(We recommend)</t>
  </si>
  <si>
    <t>final risk assessment</t>
  </si>
  <si>
    <t>high</t>
  </si>
  <si>
    <t xml:space="preserve"> Medium to high              medium</t>
  </si>
  <si>
    <t xml:space="preserve">Low to medium    </t>
  </si>
  <si>
    <t>low</t>
  </si>
  <si>
    <t>رئيس قسم إدارة مخاطر الائتمان                                                                           مدير دائرة الائتمان</t>
  </si>
  <si>
    <t xml:space="preserve"> توصية / قرار لجنة الاستثمار التمويلي :-</t>
  </si>
  <si>
    <t xml:space="preserve"> قرار اللجنة التنفيذية لمجلس الادارة :-</t>
  </si>
  <si>
    <t xml:space="preserve">عضو مجلس الادارة                     عضو مجلس الادارة                     عضو مجلس الادارة                      رئيس اللجنة التنفيذية  </t>
  </si>
  <si>
    <t xml:space="preserve"> احتمالية السلطة  9%</t>
  </si>
  <si>
    <t>Not provided</t>
  </si>
  <si>
    <t>Provision</t>
  </si>
  <si>
    <t>No experience</t>
  </si>
  <si>
    <t>Up to 120 days</t>
  </si>
  <si>
    <t>Less than two years</t>
  </si>
  <si>
    <t>Up to 90 days</t>
  </si>
  <si>
    <t>ty</t>
  </si>
  <si>
    <t xml:space="preserve">نوع الضمانة </t>
  </si>
  <si>
    <t>نسبة القبول</t>
  </si>
  <si>
    <t xml:space="preserve">بازل </t>
  </si>
  <si>
    <t>3-4 Years</t>
  </si>
  <si>
    <t>Up to 60 days</t>
  </si>
  <si>
    <t>Cash collateral</t>
  </si>
  <si>
    <t>الضمان النقدي</t>
  </si>
  <si>
    <t>5-6 Years</t>
  </si>
  <si>
    <t>Up to 30 days</t>
  </si>
  <si>
    <t xml:space="preserve"> Palestinian Treasury Bonds</t>
  </si>
  <si>
    <t>شهادات الايداع/اذونات،سندات خزينة فلسطينية</t>
  </si>
  <si>
    <t>7-8 Years</t>
  </si>
  <si>
    <t>Gov. Guarantee</t>
  </si>
  <si>
    <t>الكفالات الحكومية</t>
  </si>
  <si>
    <t>صادرة عن سلطة (وزارت)</t>
  </si>
  <si>
    <t>9-10 Years</t>
  </si>
  <si>
    <t>No credit history</t>
  </si>
  <si>
    <t>Bank Guarantees</t>
  </si>
  <si>
    <t>الكفالات المصرفية</t>
  </si>
  <si>
    <t>ان لا يقل معدل كفاية رأس مالها عن الحد الادنى / سلطة نقد او خارج</t>
  </si>
  <si>
    <t xml:space="preserve">Investment Fund </t>
  </si>
  <si>
    <t>صندوق الاستثمار/ مؤسسة أوبك الأمريكية</t>
  </si>
  <si>
    <t>Palestinian Bonds</t>
  </si>
  <si>
    <t>سندات فلسطينية /شركات مساهمة عامة فلسطينية</t>
  </si>
  <si>
    <t>ذهب / فضة / معادن ثمينة</t>
  </si>
  <si>
    <t>Shares outstanding contribution to the Palestine market companies</t>
  </si>
  <si>
    <t xml:space="preserve">أسهم شركات مساهمة / متداولة في سوق فلسطين </t>
  </si>
  <si>
    <t xml:space="preserve">شرط تخويل  البنك ببيع الاسهم في اي وقت دون الرجوع للعميل </t>
  </si>
  <si>
    <t>D  (bright)</t>
  </si>
  <si>
    <t>سيارات والاليات والمعدات</t>
  </si>
  <si>
    <t>لاول سنتين من التعثر، شرط توفر تامين وترخيص ساري مفعول</t>
  </si>
  <si>
    <t xml:space="preserve"> exist</t>
  </si>
  <si>
    <t>Shares not listed in the local money market</t>
  </si>
  <si>
    <t xml:space="preserve">أسهم غير مدرجة في اسوق المال </t>
  </si>
  <si>
    <t>1-25%</t>
  </si>
  <si>
    <t>Not exist</t>
  </si>
  <si>
    <t>C (bright)</t>
  </si>
  <si>
    <t xml:space="preserve">الضمانة العقارية / حصص بالكامل </t>
  </si>
  <si>
    <t>لاول سنتين من التعثر</t>
  </si>
  <si>
    <t>Real estate / shares</t>
  </si>
  <si>
    <t xml:space="preserve">الضمانة العقارية / حصص  </t>
  </si>
  <si>
    <t>لاول 3 سنوات من التعثر</t>
  </si>
  <si>
    <t>Real estat / Periodic Agency</t>
  </si>
  <si>
    <t xml:space="preserve">الضمانة العقارية / وكالة دورية  </t>
  </si>
  <si>
    <t>A</t>
  </si>
  <si>
    <t>Unclassifie</t>
  </si>
  <si>
    <t>Economic sector</t>
  </si>
  <si>
    <t>Debt to capital</t>
  </si>
  <si>
    <t>Agriculture</t>
  </si>
  <si>
    <t>Debt exceeded the value of capital</t>
  </si>
  <si>
    <t>Tourism</t>
  </si>
  <si>
    <t>Debt to capital ratio High</t>
  </si>
  <si>
    <t>Industries</t>
  </si>
  <si>
    <t>Debt to capital ratio is low</t>
  </si>
  <si>
    <t>Services</t>
  </si>
  <si>
    <t>Low to medium risk</t>
  </si>
  <si>
    <t>Governmental</t>
  </si>
  <si>
    <t>Other</t>
  </si>
  <si>
    <t>Medium to high risk</t>
  </si>
  <si>
    <t>tawaroq</t>
  </si>
  <si>
    <t>high risk</t>
  </si>
  <si>
    <t xml:space="preserve"> purpose of funding</t>
  </si>
  <si>
    <t>Ijarah with the option to buy</t>
  </si>
  <si>
    <t>Moderate competition</t>
  </si>
  <si>
    <t>OTHER</t>
  </si>
  <si>
    <t>Monopolistic competition</t>
  </si>
  <si>
    <t>The movement of bank customer's account</t>
  </si>
  <si>
    <t>Bad</t>
  </si>
  <si>
    <t>Acceptable</t>
  </si>
  <si>
    <t>Personal consumption</t>
  </si>
  <si>
    <t>No movement</t>
  </si>
  <si>
    <t>istidama</t>
  </si>
  <si>
    <t>4-6 year</t>
  </si>
  <si>
    <t>7 years and more</t>
  </si>
  <si>
    <t>الالتزامات المباشرة وغير المباشرة</t>
  </si>
  <si>
    <t>الرمز</t>
  </si>
  <si>
    <t>كمبيالات مخصومه</t>
  </si>
  <si>
    <t>SC</t>
  </si>
  <si>
    <t>حساب جاري مدين</t>
  </si>
  <si>
    <t>RS</t>
  </si>
  <si>
    <t>حسابات جاريه تحت الطلب مكشوفه</t>
  </si>
  <si>
    <t>BG</t>
  </si>
  <si>
    <t>EM</t>
  </si>
  <si>
    <t>سلف</t>
  </si>
  <si>
    <t>TR</t>
  </si>
  <si>
    <t>كفالات</t>
  </si>
  <si>
    <t xml:space="preserve">اسم البنك </t>
  </si>
  <si>
    <t>DB</t>
  </si>
  <si>
    <t>قبولات مصرفيه</t>
  </si>
  <si>
    <t>البنك العربي</t>
  </si>
  <si>
    <t>ZXA8121F03</t>
  </si>
  <si>
    <t>PM</t>
  </si>
  <si>
    <t>اعتمادات مستنديه</t>
  </si>
  <si>
    <t>بنك الأردن</t>
  </si>
  <si>
    <t>BYH456PO</t>
  </si>
  <si>
    <t>PN</t>
  </si>
  <si>
    <t>بوالص تحصيل</t>
  </si>
  <si>
    <t>البنك العقاري المصري</t>
  </si>
  <si>
    <t>MNQ101WA</t>
  </si>
  <si>
    <t>CS</t>
  </si>
  <si>
    <t>تمويل تاجيري</t>
  </si>
  <si>
    <t>HSBC</t>
  </si>
  <si>
    <t>ELS798KA</t>
  </si>
  <si>
    <t>PG</t>
  </si>
  <si>
    <t>مرابحات</t>
  </si>
  <si>
    <t>بنك فلسطين المحدود</t>
  </si>
  <si>
    <t>KLM511QT</t>
  </si>
  <si>
    <t>CG</t>
  </si>
  <si>
    <t>اصتصناع</t>
  </si>
  <si>
    <t>بنك القاهرة عمان</t>
  </si>
  <si>
    <t>IMR</t>
  </si>
  <si>
    <t>LC</t>
  </si>
  <si>
    <t>مضاربه</t>
  </si>
  <si>
    <t>بنك الإسكان</t>
  </si>
  <si>
    <t>VMK</t>
  </si>
  <si>
    <t>LCI</t>
  </si>
  <si>
    <t>مشاركات</t>
  </si>
  <si>
    <t>بنك الاستثمار</t>
  </si>
  <si>
    <t>AHQ</t>
  </si>
  <si>
    <t>AB</t>
  </si>
  <si>
    <t>بطاقه ائتمان</t>
  </si>
  <si>
    <t>المؤسسة المصرفية</t>
  </si>
  <si>
    <t>QSA</t>
  </si>
  <si>
    <t>ID</t>
  </si>
  <si>
    <t>ايجارة منهيه بالتمليك</t>
  </si>
  <si>
    <t>بنك الأقصى الإسلامي</t>
  </si>
  <si>
    <t>MER</t>
  </si>
  <si>
    <t>SL</t>
  </si>
  <si>
    <t>التورق البسيط والمركب</t>
  </si>
  <si>
    <t>البنك التجاري الفلسطيني</t>
  </si>
  <si>
    <t>FGA</t>
  </si>
  <si>
    <t>GW</t>
  </si>
  <si>
    <t>السلم</t>
  </si>
  <si>
    <t>البنك الإسلامي الفلسطيني</t>
  </si>
  <si>
    <t>QWE</t>
  </si>
  <si>
    <t>WF</t>
  </si>
  <si>
    <t>القرض الحسن</t>
  </si>
  <si>
    <t>البنك الإسلامي العربي</t>
  </si>
  <si>
    <t>KUL</t>
  </si>
  <si>
    <t>DC</t>
  </si>
  <si>
    <t>قروض التجميع البنكي</t>
  </si>
  <si>
    <t>بنك القدس</t>
  </si>
  <si>
    <t>CIS</t>
  </si>
  <si>
    <t>بنك الرفاه</t>
  </si>
  <si>
    <t>APQ</t>
  </si>
  <si>
    <t>البنك الأهلي الأردني</t>
  </si>
  <si>
    <t>XYZ</t>
  </si>
  <si>
    <t>البنك الأردني الكويتي</t>
  </si>
  <si>
    <t>غير مصنف</t>
  </si>
  <si>
    <t>بنك الاتحاد</t>
  </si>
  <si>
    <t>بنك فلسطين الدولي</t>
  </si>
  <si>
    <t>البنك التجاري الأردني</t>
  </si>
  <si>
    <t>مؤسسة إقراض</t>
  </si>
  <si>
    <t>قسط شهري</t>
  </si>
  <si>
    <t>نوع الضمانة</t>
  </si>
  <si>
    <t>قسط ربعي</t>
  </si>
  <si>
    <t>Q</t>
  </si>
  <si>
    <t>كان مدرجاً سابقاً</t>
  </si>
  <si>
    <t>رهن عقاري من الدرجة الأولى لقطعة أرض بسند رهن</t>
  </si>
  <si>
    <t>بسند رهن بقيمة</t>
  </si>
  <si>
    <t>نصف سنوي</t>
  </si>
  <si>
    <t>SA</t>
  </si>
  <si>
    <t>غير مدرج</t>
  </si>
  <si>
    <t>رهن عقاري من الدرجة الثانية لقطعة أرض بسند رهن</t>
  </si>
  <si>
    <t>وتأمينها تأميناً شاملاً لصالح البنك الإسلامي العربي بقيمة لا تقل عن</t>
  </si>
  <si>
    <t>سنوي</t>
  </si>
  <si>
    <t>رهونات عقارية على أراضي بمجموع سندات رهن</t>
  </si>
  <si>
    <t>دفعه واحده</t>
  </si>
  <si>
    <t>OP</t>
  </si>
  <si>
    <t>منخفضة</t>
  </si>
  <si>
    <t>رهن عقاري (مباني) بسند رهن</t>
  </si>
  <si>
    <t>اسبوعي</t>
  </si>
  <si>
    <t>W</t>
  </si>
  <si>
    <t>متوسطة</t>
  </si>
  <si>
    <t>رهن سيارة وتأمينها تأميناً شاملاً لصالح البنك الإسلامي العربي بقيمة لا تقل عن</t>
  </si>
  <si>
    <t>مرتفعة</t>
  </si>
  <si>
    <t>رهن شاحنات وتأمينها تأميناً شاملاً لصالح البنك الإسلامي العربي بقيمة لا تقل عن</t>
  </si>
  <si>
    <t>رهن صهريج وتأمينها تأميناً شاملاً لصالح البنك الإسلامي العربي بقيمة لا تقل عن</t>
  </si>
  <si>
    <t>تأمينات النقدية بنفس العملة</t>
  </si>
  <si>
    <t>رمز القسط</t>
  </si>
  <si>
    <t>ملتزم، حيث بلغ رصيد الشيكات المودعة بقيمة</t>
  </si>
  <si>
    <t>تأمينات النقدية بعملة مختلفة</t>
  </si>
  <si>
    <t xml:space="preserve">قسط شهري </t>
  </si>
  <si>
    <t>غير ملتزم، حيث يوجد عجز بقيمة</t>
  </si>
  <si>
    <t>رهن أسهم</t>
  </si>
  <si>
    <t>رهن اسهم وسندات</t>
  </si>
  <si>
    <t>رهن اسهم غير مدرجة</t>
  </si>
  <si>
    <t>تسجيل الارض والمباني باسم البنك</t>
  </si>
  <si>
    <t>رهن عقاري على حصص</t>
  </si>
  <si>
    <t>رهن عقاري مقام عليه بناء من الدرجة الاولى بسند رهن</t>
  </si>
  <si>
    <t>رمز القسط الدوري</t>
  </si>
  <si>
    <t>كفالات حكومية</t>
  </si>
  <si>
    <t>حول لاجراء قانوني</t>
  </si>
  <si>
    <t>رهن سيارات ومركبات</t>
  </si>
  <si>
    <t>لم يحول لاجراء قانوني</t>
  </si>
  <si>
    <t>رهن حيازي الالات ومعدات</t>
  </si>
  <si>
    <t xml:space="preserve">أمر دوري ثابت </t>
  </si>
  <si>
    <t xml:space="preserve">                  مدير دائرة الائتمان                                         المدير المالي                                                       المدير العام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</si>
</sst>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5" formatCode="&quot;$&quot;#,##0_);\(&quot;$&quot;#,##0\)"/>
    <numFmt numFmtId="6" formatCode="&quot;$&quot;#,##0_);[Red]\(&quot;$&quot;#,##0\)"/>
    <numFmt numFmtId="41" formatCode="_(* #,##0_);_(* \(#,##0\);_(* &quot;-&quot;_);_(@_)"/>
    <numFmt numFmtId="44" formatCode="_(&quot;$&quot;* #,##0.00_);_(&quot;$&quot;* \(#,##0.00\);_(&quot;$&quot;* &quot;-&quot;??_);_(@_)"/>
    <numFmt numFmtId="43" formatCode="_(* #,##0.00_);_(* \(#,##0.00\);_(* &quot;-&quot;??_);_(@_)"/>
    <numFmt numFmtId="164" formatCode="0.0%"/>
    <numFmt numFmtId="165" formatCode="_(* #,##0_);_(* \(#,##0\);_(* &quot;-&quot;??_);_(@_)"/>
    <numFmt numFmtId="166" formatCode="_([$€-2]* #,##0.00_);_([$€-2]* \(#,##0.00\);_([$€-2]* &quot;-&quot;??_)"/>
    <numFmt numFmtId="167" formatCode="_ [$₪-40D]\ * #,##0_ ;_ [$₪-40D]\ * \-#,##0_ ;_ [$₪-40D]\ * &quot;-&quot;_ ;_ @_ "/>
    <numFmt numFmtId="168" formatCode="[$USD]\ #,##0"/>
    <numFmt numFmtId="169" formatCode="0.000000%"/>
    <numFmt numFmtId="170" formatCode="_([$USD]\ * #,##0_);_([$USD]\ * \(#,##0\);_([$USD]\ * &quot;-&quot;_);_(@_)"/>
    <numFmt numFmtId="171" formatCode="0.0000%"/>
    <numFmt numFmtId="172" formatCode="_(* #,##0.0000_);_(* \(#,##0.0000\);_(* &quot;-&quot;??_);_(@_)"/>
    <numFmt numFmtId="173" formatCode="_(&quot;$&quot;* #,##0_);_(&quot;$&quot;* \(#,##0\);_(&quot;$&quot;* &quot;-&quot;??_);_(@_)"/>
    <numFmt numFmtId="174" formatCode="0.0"/>
    <numFmt numFmtId="175" formatCode="_(&quot;$&quot;* #,##0.0_);_(&quot;$&quot;* \(#,##0.0\);_(&quot;$&quot;* &quot;-&quot;??_);_(@_)"/>
    <numFmt numFmtId="176" formatCode="_(* #,##0_);_(* \(#,##0\);_(* &quot;-&quot;???_);_(@_)"/>
    <numFmt numFmtId="177" formatCode="&quot;$&quot;#,##0"/>
    <numFmt numFmtId="178" formatCode="[$₪-40D]\ #,##0"/>
    <numFmt numFmtId="186" formatCode="_-* #,##0_-;_-* #,##0\-;_-* &quot;-&quot;??_-;_-@_-"/>
  </numFmts>
  <fonts count="167">
    <font>
      <sz val="11"/>
      <color theme="1"/>
      <name val="Calibri"/>
      <family val="2"/>
      <scheme val="minor"/>
    </font>
    <font>
      <sz val="11"/>
      <color theme="1"/>
      <name val="Calibri"/>
      <family val="2"/>
      <scheme val="minor"/>
    </font>
    <font>
      <b/>
      <sz val="11"/>
      <color theme="1"/>
      <name val="Calibri"/>
      <family val="2"/>
      <scheme val="minor"/>
    </font>
    <font>
      <sz val="10"/>
      <name val="Calibri"/>
      <family val="2"/>
      <scheme val="minor"/>
    </font>
    <font>
      <b/>
      <sz val="11"/>
      <name val="Calibri"/>
      <family val="2"/>
      <scheme val="minor"/>
    </font>
    <font>
      <sz val="11"/>
      <name val="Calibri"/>
      <family val="2"/>
      <scheme val="minor"/>
    </font>
    <font>
      <b/>
      <sz val="11"/>
      <color theme="0"/>
      <name val="Calibri"/>
      <family val="2"/>
      <scheme val="minor"/>
    </font>
    <font>
      <b/>
      <sz val="10"/>
      <color theme="1"/>
      <name val="Calibri"/>
      <family val="2"/>
      <scheme val="minor"/>
    </font>
    <font>
      <sz val="10"/>
      <color theme="1"/>
      <name val="Calibri"/>
      <family val="2"/>
      <scheme val="minor"/>
    </font>
    <font>
      <sz val="10"/>
      <name val="Arial"/>
      <family val="2"/>
    </font>
    <font>
      <sz val="10"/>
      <color rgb="FFFF0000"/>
      <name val="Calibri"/>
      <family val="2"/>
      <scheme val="minor"/>
    </font>
    <font>
      <b/>
      <sz val="10"/>
      <name val="Calibri"/>
      <family val="2"/>
      <scheme val="minor"/>
    </font>
    <font>
      <b/>
      <sz val="10"/>
      <color theme="0"/>
      <name val="Calibri"/>
      <family val="2"/>
      <scheme val="minor"/>
    </font>
    <font>
      <b/>
      <u/>
      <sz val="10"/>
      <color theme="1"/>
      <name val="Calibri"/>
      <family val="2"/>
      <scheme val="minor"/>
    </font>
    <font>
      <u/>
      <sz val="10"/>
      <name val="Calibri"/>
      <family val="2"/>
      <scheme val="minor"/>
    </font>
    <font>
      <sz val="11"/>
      <color rgb="FF0070C0"/>
      <name val="Calibri"/>
      <family val="2"/>
      <scheme val="minor"/>
    </font>
    <font>
      <sz val="11"/>
      <color rgb="FF00B050"/>
      <name val="Calibri"/>
      <family val="2"/>
      <scheme val="minor"/>
    </font>
    <font>
      <sz val="10"/>
      <color rgb="FF00B050"/>
      <name val="Calibri"/>
      <family val="2"/>
      <scheme val="minor"/>
    </font>
    <font>
      <sz val="10"/>
      <color rgb="FFC00000"/>
      <name val="Calibri"/>
      <family val="2"/>
      <scheme val="minor"/>
    </font>
    <font>
      <sz val="11"/>
      <color rgb="FFC00000"/>
      <name val="Calibri"/>
      <family val="2"/>
      <scheme val="minor"/>
    </font>
    <font>
      <b/>
      <sz val="11"/>
      <color theme="1"/>
      <name val="Calibri"/>
      <family val="2"/>
    </font>
    <font>
      <b/>
      <i/>
      <sz val="11"/>
      <color theme="1"/>
      <name val="Calibri"/>
      <family val="2"/>
      <scheme val="minor"/>
    </font>
    <font>
      <sz val="10"/>
      <color theme="0"/>
      <name val="Calibri"/>
      <family val="2"/>
      <scheme val="minor"/>
    </font>
    <font>
      <b/>
      <sz val="12"/>
      <name val="Calibri"/>
      <family val="2"/>
      <scheme val="minor"/>
    </font>
    <font>
      <b/>
      <sz val="10"/>
      <color rgb="FFFFFF00"/>
      <name val="Calibri"/>
      <family val="2"/>
      <scheme val="minor"/>
    </font>
    <font>
      <b/>
      <u/>
      <sz val="10"/>
      <name val="Calibri"/>
      <family val="2"/>
      <scheme val="minor"/>
    </font>
    <font>
      <b/>
      <sz val="12"/>
      <color theme="1"/>
      <name val="Calibri"/>
      <family val="2"/>
      <scheme val="minor"/>
    </font>
    <font>
      <b/>
      <sz val="10"/>
      <color theme="1" tint="0.34998626667073579"/>
      <name val="Calibri"/>
      <family val="2"/>
      <scheme val="minor"/>
    </font>
    <font>
      <b/>
      <u val="singleAccounting"/>
      <sz val="16"/>
      <color theme="1"/>
      <name val="Calibri"/>
      <family val="2"/>
      <scheme val="minor"/>
    </font>
    <font>
      <b/>
      <i/>
      <sz val="11"/>
      <color theme="1" tint="0.249977111117893"/>
      <name val="Calibri"/>
      <family val="2"/>
    </font>
    <font>
      <sz val="12"/>
      <color theme="1"/>
      <name val="Calibri"/>
      <family val="2"/>
      <scheme val="minor"/>
    </font>
    <font>
      <b/>
      <sz val="14"/>
      <name val="Calibri"/>
      <family val="2"/>
      <scheme val="minor"/>
    </font>
    <font>
      <b/>
      <u/>
      <sz val="11"/>
      <color theme="5" tint="-0.499984740745262"/>
      <name val="Calibri"/>
      <family val="2"/>
      <scheme val="minor"/>
    </font>
    <font>
      <b/>
      <sz val="11"/>
      <color rgb="FF0070C0"/>
      <name val="Calibri"/>
      <family val="2"/>
      <scheme val="minor"/>
    </font>
    <font>
      <u/>
      <sz val="11"/>
      <color theme="1"/>
      <name val="Calibri"/>
      <family val="2"/>
      <scheme val="minor"/>
    </font>
    <font>
      <b/>
      <u/>
      <sz val="11"/>
      <color theme="9" tint="-0.499984740745262"/>
      <name val="Calibri"/>
      <family val="2"/>
      <scheme val="minor"/>
    </font>
    <font>
      <b/>
      <u/>
      <sz val="11"/>
      <color theme="6" tint="-0.499984740745262"/>
      <name val="Calibri"/>
      <family val="2"/>
      <scheme val="minor"/>
    </font>
    <font>
      <b/>
      <u val="doubleAccounting"/>
      <sz val="16"/>
      <color theme="1"/>
      <name val="Calibri"/>
      <family val="2"/>
      <scheme val="minor"/>
    </font>
    <font>
      <b/>
      <sz val="10.5"/>
      <name val="Calibri"/>
      <family val="2"/>
      <scheme val="minor"/>
    </font>
    <font>
      <b/>
      <sz val="9"/>
      <color theme="0"/>
      <name val="Calibri"/>
      <family val="2"/>
      <scheme val="minor"/>
    </font>
    <font>
      <sz val="9"/>
      <color theme="0"/>
      <name val="Calibri"/>
      <family val="2"/>
      <scheme val="minor"/>
    </font>
    <font>
      <sz val="9"/>
      <color theme="1"/>
      <name val="Calibri"/>
      <family val="2"/>
      <scheme val="minor"/>
    </font>
    <font>
      <b/>
      <sz val="10"/>
      <color theme="0"/>
      <name val="Times"/>
      <family val="1"/>
    </font>
    <font>
      <sz val="10"/>
      <color theme="1"/>
      <name val="Times"/>
      <family val="1"/>
    </font>
    <font>
      <sz val="10"/>
      <name val="Times"/>
      <family val="1"/>
    </font>
    <font>
      <b/>
      <sz val="10.5"/>
      <color theme="1"/>
      <name val="Calibri"/>
      <family val="2"/>
      <scheme val="minor"/>
    </font>
    <font>
      <sz val="11"/>
      <color theme="0" tint="-0.499984740745262"/>
      <name val="Calibri"/>
      <family val="2"/>
      <scheme val="minor"/>
    </font>
    <font>
      <sz val="11"/>
      <color theme="0"/>
      <name val="Calibri"/>
      <family val="2"/>
      <scheme val="minor"/>
    </font>
    <font>
      <b/>
      <sz val="11"/>
      <color rgb="FFFFFFFF"/>
      <name val="Times New Roman"/>
      <family val="1"/>
    </font>
    <font>
      <sz val="11"/>
      <color rgb="FF000000"/>
      <name val="Times"/>
      <family val="1"/>
    </font>
    <font>
      <sz val="11"/>
      <color theme="1"/>
      <name val="Times New Roman"/>
      <family val="1"/>
    </font>
    <font>
      <b/>
      <sz val="11"/>
      <color theme="1"/>
      <name val="Simplified Arabic"/>
      <family val="1"/>
    </font>
    <font>
      <sz val="11"/>
      <color theme="1"/>
      <name val="Simplified Arabic"/>
      <family val="1"/>
    </font>
    <font>
      <b/>
      <sz val="14"/>
      <color theme="1"/>
      <name val="Times New Roman"/>
      <family val="1"/>
    </font>
    <font>
      <b/>
      <u/>
      <sz val="14"/>
      <color theme="1"/>
      <name val="Times New Roman"/>
      <family val="1"/>
    </font>
    <font>
      <b/>
      <sz val="11"/>
      <color theme="1"/>
      <name val="Times New Roman"/>
      <family val="1"/>
    </font>
    <font>
      <b/>
      <sz val="11"/>
      <color rgb="FF000000"/>
      <name val="Times New Roman"/>
      <family val="1"/>
    </font>
    <font>
      <b/>
      <sz val="11"/>
      <color theme="1"/>
      <name val="Arial"/>
      <family val="2"/>
    </font>
    <font>
      <sz val="14"/>
      <color theme="1"/>
      <name val="Times New Roman"/>
      <family val="1"/>
    </font>
    <font>
      <b/>
      <sz val="14"/>
      <color rgb="FFFFFFFF"/>
      <name val="Times New Roman"/>
      <family val="1"/>
    </font>
    <font>
      <sz val="14"/>
      <color rgb="FFFFFFFF"/>
      <name val="Times New Roman"/>
      <family val="1"/>
    </font>
    <font>
      <sz val="14"/>
      <color theme="1"/>
      <name val="Calibri"/>
      <family val="2"/>
      <scheme val="minor"/>
    </font>
    <font>
      <b/>
      <sz val="14"/>
      <color rgb="FF000000"/>
      <name val="Times"/>
      <family val="1"/>
    </font>
    <font>
      <u/>
      <sz val="14"/>
      <color theme="1"/>
      <name val="Times New Roman"/>
      <family val="1"/>
    </font>
    <font>
      <sz val="14"/>
      <color rgb="FF000000"/>
      <name val="Times New Roman"/>
      <family val="1"/>
    </font>
    <font>
      <sz val="14"/>
      <name val="Times New Roman"/>
      <family val="1"/>
    </font>
    <font>
      <sz val="14"/>
      <name val="Calibri"/>
      <family val="2"/>
      <scheme val="minor"/>
    </font>
    <font>
      <b/>
      <sz val="14"/>
      <color theme="0"/>
      <name val="Times New Roman"/>
      <family val="1"/>
    </font>
    <font>
      <sz val="12"/>
      <color theme="1"/>
      <name val="Times New Roman"/>
      <family val="1"/>
    </font>
    <font>
      <b/>
      <sz val="12"/>
      <color theme="1"/>
      <name val="Times New Roman"/>
      <family val="1"/>
    </font>
    <font>
      <b/>
      <sz val="12"/>
      <color theme="1"/>
      <name val="CG Times"/>
      <family val="1"/>
    </font>
    <font>
      <sz val="12"/>
      <color theme="1"/>
      <name val="CG Times"/>
      <family val="1"/>
    </font>
    <font>
      <b/>
      <sz val="12"/>
      <color rgb="FFFFFFFF"/>
      <name val="Times New Roman"/>
      <family val="1"/>
    </font>
    <font>
      <b/>
      <sz val="12"/>
      <color theme="0"/>
      <name val="Times New Roman"/>
      <family val="1"/>
    </font>
    <font>
      <sz val="12"/>
      <color theme="0"/>
      <name val="Times New Roman"/>
      <family val="1"/>
    </font>
    <font>
      <sz val="12"/>
      <color theme="0"/>
      <name val="Calibri"/>
      <family val="2"/>
      <scheme val="minor"/>
    </font>
    <font>
      <b/>
      <sz val="12"/>
      <color theme="1"/>
      <name val="Arial"/>
      <family val="2"/>
    </font>
    <font>
      <sz val="12"/>
      <color theme="1"/>
      <name val="Arial"/>
      <family val="2"/>
    </font>
    <font>
      <u/>
      <sz val="12"/>
      <color theme="1"/>
      <name val="Times New Roman"/>
      <family val="1"/>
    </font>
    <font>
      <sz val="12"/>
      <color theme="1"/>
      <name val="Times"/>
      <family val="1"/>
    </font>
    <font>
      <b/>
      <sz val="12"/>
      <color rgb="FF000000"/>
      <name val="Times"/>
      <family val="1"/>
    </font>
    <font>
      <sz val="13"/>
      <color theme="1"/>
      <name val="Times New Roman"/>
      <family val="1"/>
    </font>
    <font>
      <sz val="12"/>
      <color rgb="FF000000"/>
      <name val="Times New Roman"/>
      <family val="1"/>
    </font>
    <font>
      <b/>
      <sz val="12"/>
      <color rgb="FF000000"/>
      <name val="Times New Roman"/>
      <family val="1"/>
    </font>
    <font>
      <b/>
      <sz val="14"/>
      <color theme="1"/>
      <name val="Simplified Arabic"/>
      <family val="1"/>
    </font>
    <font>
      <sz val="14"/>
      <color theme="1"/>
      <name val="Simplified Arabic"/>
      <family val="1"/>
    </font>
    <font>
      <b/>
      <sz val="14"/>
      <color rgb="FFFFFFFF"/>
      <name val="Simplified Arabic"/>
      <family val="1"/>
    </font>
    <font>
      <b/>
      <u/>
      <sz val="14"/>
      <color theme="1"/>
      <name val="Simplified Arabic"/>
      <family val="1"/>
    </font>
    <font>
      <sz val="14"/>
      <color rgb="FFFF0000"/>
      <name val="Simplified Arabic"/>
      <family val="1"/>
    </font>
    <font>
      <sz val="14"/>
      <color rgb="FF000000"/>
      <name val="Simplified Arabic"/>
      <family val="1"/>
    </font>
    <font>
      <b/>
      <sz val="14"/>
      <color rgb="FF000000"/>
      <name val="Simplified Arabic"/>
      <family val="1"/>
    </font>
    <font>
      <b/>
      <u/>
      <sz val="18"/>
      <color theme="1"/>
      <name val="Simplified Arabic"/>
      <family val="1"/>
    </font>
    <font>
      <b/>
      <sz val="16"/>
      <color theme="1"/>
      <name val="Simplified Arabic"/>
      <family val="1"/>
    </font>
    <font>
      <sz val="16"/>
      <color theme="1"/>
      <name val="Simplified Arabic"/>
      <family val="1"/>
    </font>
    <font>
      <b/>
      <sz val="16"/>
      <color rgb="FF000000"/>
      <name val="Simplified Arabic"/>
      <family val="1"/>
    </font>
    <font>
      <sz val="16"/>
      <color rgb="FF000000"/>
      <name val="Simplified Arabic"/>
      <family val="1"/>
    </font>
    <font>
      <b/>
      <sz val="16"/>
      <color rgb="FFFFFFFF"/>
      <name val="Simplified Arabic"/>
      <family val="1"/>
    </font>
    <font>
      <sz val="16"/>
      <color rgb="FFFFFFFF"/>
      <name val="Simplified Arabic"/>
      <family val="1"/>
    </font>
    <font>
      <b/>
      <u/>
      <sz val="16"/>
      <color theme="1"/>
      <name val="Simplified Arabic"/>
      <family val="1"/>
    </font>
    <font>
      <b/>
      <sz val="14"/>
      <color rgb="FF000000"/>
      <name val="Times New Roman"/>
      <family val="1"/>
    </font>
    <font>
      <sz val="14"/>
      <color rgb="FF222222"/>
      <name val="Times New Roman"/>
      <family val="1"/>
    </font>
    <font>
      <b/>
      <sz val="14"/>
      <color rgb="FF222222"/>
      <name val="Times New Roman"/>
      <family val="1"/>
    </font>
    <font>
      <b/>
      <i/>
      <sz val="14"/>
      <color theme="1"/>
      <name val="Times New Roman"/>
      <family val="1"/>
    </font>
    <font>
      <b/>
      <sz val="14"/>
      <color theme="0"/>
      <name val="Calibri"/>
      <family val="2"/>
      <scheme val="minor"/>
    </font>
    <font>
      <b/>
      <u/>
      <sz val="18"/>
      <color theme="1"/>
      <name val="Times New Roman"/>
      <family val="1"/>
    </font>
    <font>
      <b/>
      <sz val="16"/>
      <color theme="1"/>
      <name val="Times New Roman"/>
      <family val="1"/>
    </font>
    <font>
      <b/>
      <sz val="18"/>
      <color theme="1"/>
      <name val="Simplified Arabic"/>
      <family val="1"/>
    </font>
    <font>
      <b/>
      <u val="doubleAccounting"/>
      <sz val="18"/>
      <color theme="1"/>
      <name val="Simplified Arabic"/>
      <family val="1"/>
    </font>
    <font>
      <sz val="12"/>
      <color theme="1"/>
      <name val="Simplified Arabic"/>
      <family val="1"/>
    </font>
    <font>
      <sz val="16"/>
      <color theme="1"/>
      <name val="Calibri"/>
      <family val="2"/>
      <scheme val="minor"/>
    </font>
    <font>
      <sz val="16"/>
      <color theme="1"/>
      <name val="Arial Black"/>
      <family val="2"/>
    </font>
    <font>
      <b/>
      <u/>
      <sz val="20"/>
      <color theme="1"/>
      <name val="Simplified Arabic"/>
      <family val="1"/>
    </font>
    <font>
      <sz val="18"/>
      <color theme="1"/>
      <name val="Simplified Arabic"/>
      <family val="1"/>
    </font>
    <font>
      <sz val="18"/>
      <color theme="1"/>
      <name val="Times New Roman"/>
      <family val="1"/>
    </font>
    <font>
      <sz val="18"/>
      <color theme="1"/>
      <name val="Calibri"/>
      <family val="2"/>
      <scheme val="minor"/>
    </font>
    <font>
      <b/>
      <i/>
      <sz val="16"/>
      <color theme="1"/>
      <name val="Simplified Arabic"/>
      <family val="1"/>
    </font>
    <font>
      <b/>
      <i/>
      <sz val="18"/>
      <color theme="1"/>
      <name val="Simplified Arabic"/>
      <family val="1"/>
    </font>
    <font>
      <b/>
      <sz val="20"/>
      <color theme="1"/>
      <name val="Simplified Arabic"/>
      <family val="1"/>
    </font>
    <font>
      <b/>
      <sz val="18"/>
      <color rgb="FF000000"/>
      <name val="Simplified Arabic"/>
      <family val="1"/>
    </font>
    <font>
      <sz val="18"/>
      <color rgb="FF000000"/>
      <name val="Simplified Arabic"/>
      <family val="1"/>
    </font>
    <font>
      <b/>
      <sz val="11"/>
      <name val="Californian FB"/>
      <family val="1"/>
    </font>
    <font>
      <i/>
      <sz val="11"/>
      <name val="Calibri"/>
      <family val="2"/>
      <scheme val="minor"/>
    </font>
    <font>
      <b/>
      <sz val="12"/>
      <color theme="1"/>
      <name val="Simplified Arabic"/>
      <family val="1"/>
    </font>
    <font>
      <sz val="12"/>
      <color rgb="FF000000"/>
      <name val="Simplified Arabic"/>
      <family val="1"/>
    </font>
    <font>
      <b/>
      <sz val="13"/>
      <color theme="1"/>
      <name val="Simplified Arabic"/>
      <family val="1"/>
    </font>
    <font>
      <sz val="7"/>
      <color theme="1"/>
      <name val="Simplified Arabic"/>
      <family val="1"/>
    </font>
    <font>
      <sz val="7"/>
      <color rgb="FF000000"/>
      <name val="Simplified Arabic"/>
      <family val="1"/>
    </font>
    <font>
      <sz val="10.5"/>
      <name val="Calibri"/>
      <family val="2"/>
      <scheme val="minor"/>
    </font>
    <font>
      <sz val="12"/>
      <name val="Calibri"/>
      <family val="2"/>
      <scheme val="minor"/>
    </font>
    <font>
      <b/>
      <u/>
      <sz val="11"/>
      <color theme="1"/>
      <name val="Simplified Arabic"/>
      <family val="1"/>
    </font>
    <font>
      <b/>
      <sz val="11"/>
      <color theme="0"/>
      <name val="Simplified Arabic"/>
      <family val="1"/>
    </font>
    <font>
      <sz val="11"/>
      <name val="Simplified Arabic"/>
      <family val="1"/>
    </font>
    <font>
      <sz val="16"/>
      <color theme="1"/>
      <name val="Times New Roman"/>
      <family val="1"/>
    </font>
    <font>
      <sz val="10"/>
      <color theme="1" tint="0.499984740745262"/>
      <name val="Calibri"/>
      <family val="2"/>
      <scheme val="minor"/>
    </font>
    <font>
      <b/>
      <sz val="10"/>
      <color theme="1" tint="0.499984740745262"/>
      <name val="Calibri"/>
      <family val="2"/>
      <scheme val="minor"/>
    </font>
    <font>
      <b/>
      <sz val="12"/>
      <color theme="0"/>
      <name val="Calibri"/>
      <family val="2"/>
      <scheme val="minor"/>
    </font>
    <font>
      <b/>
      <sz val="11"/>
      <color theme="4"/>
      <name val="Calibri"/>
      <family val="2"/>
      <scheme val="minor"/>
    </font>
    <font>
      <sz val="11"/>
      <color theme="4"/>
      <name val="Calibri"/>
      <family val="2"/>
      <scheme val="minor"/>
    </font>
    <font>
      <b/>
      <u val="singleAccounting"/>
      <sz val="16"/>
      <color theme="0"/>
      <name val="Calibri"/>
      <family val="2"/>
      <scheme val="minor"/>
    </font>
    <font>
      <b/>
      <sz val="14"/>
      <color theme="1"/>
      <name val="Calibri"/>
      <family val="2"/>
      <scheme val="minor"/>
    </font>
    <font>
      <sz val="80"/>
      <color theme="0" tint="-0.249977111117893"/>
      <name val="Eras Light ITC"/>
      <family val="2"/>
    </font>
    <font>
      <sz val="16"/>
      <color theme="1"/>
      <name val="Simplified Arabic"/>
      <family val="1"/>
      <charset val="178"/>
    </font>
    <font>
      <b/>
      <sz val="16"/>
      <name val="Simplified Arabic"/>
      <family val="1"/>
      <charset val="178"/>
    </font>
    <font>
      <sz val="16"/>
      <name val="Simplified Arabic"/>
      <family val="1"/>
      <charset val="178"/>
    </font>
    <font>
      <b/>
      <sz val="14"/>
      <color theme="1"/>
      <name val="Simplified Arabic"/>
      <family val="1"/>
      <charset val="178"/>
    </font>
    <font>
      <b/>
      <sz val="18"/>
      <name val="Simplified Arabic"/>
      <family val="1"/>
      <charset val="178"/>
    </font>
    <font>
      <b/>
      <sz val="20"/>
      <color rgb="FF000000"/>
      <name val="Sakkal Majalla"/>
    </font>
    <font>
      <b/>
      <sz val="20"/>
      <color theme="1"/>
      <name val="Sakkal Majalla"/>
    </font>
    <font>
      <sz val="20"/>
      <color theme="1"/>
      <name val="Sakkal Majalla"/>
    </font>
    <font>
      <sz val="20"/>
      <color theme="1"/>
      <name val="Simplified Arabic"/>
      <family val="1"/>
    </font>
    <font>
      <b/>
      <u/>
      <sz val="20"/>
      <color theme="1"/>
      <name val="Sakkal Majalla"/>
    </font>
    <font>
      <b/>
      <sz val="15"/>
      <name val="Simplified Arabic"/>
      <family val="1"/>
    </font>
    <font>
      <b/>
      <u/>
      <sz val="15"/>
      <name val="Simplified Arabic"/>
      <family val="1"/>
    </font>
    <font>
      <sz val="15"/>
      <name val="Simplified Arabic"/>
      <family val="1"/>
    </font>
    <font>
      <sz val="15"/>
      <color rgb="FFFF0000"/>
      <name val="Simplified Arabic"/>
      <family val="1"/>
    </font>
    <font>
      <b/>
      <sz val="15"/>
      <color rgb="FFFF0000"/>
      <name val="Simplified Arabic"/>
      <family val="1"/>
    </font>
    <font>
      <b/>
      <sz val="14"/>
      <name val="Simplified Arabic"/>
      <family val="1"/>
    </font>
    <font>
      <sz val="14"/>
      <name val="Simplified Arabic"/>
      <family val="1"/>
    </font>
    <font>
      <b/>
      <u/>
      <sz val="13"/>
      <name val="Simplified Arabic"/>
      <family val="1"/>
    </font>
    <font>
      <u val="singleAccounting"/>
      <sz val="14"/>
      <name val="Simplified Arabic"/>
      <family val="1"/>
    </font>
    <font>
      <b/>
      <u/>
      <sz val="14"/>
      <name val="Simplified Arabic"/>
      <family val="1"/>
    </font>
    <font>
      <sz val="12"/>
      <name val="Simplified Arabic"/>
      <family val="1"/>
    </font>
    <font>
      <sz val="15"/>
      <name val="Sakkal Majalla"/>
    </font>
    <font>
      <sz val="12"/>
      <color rgb="FFFF0000"/>
      <name val="Simplified Arabic"/>
      <family val="1"/>
    </font>
    <font>
      <b/>
      <sz val="12"/>
      <name val="Simplified Arabic"/>
      <family val="1"/>
    </font>
    <font>
      <b/>
      <sz val="12"/>
      <color rgb="FFFF0000"/>
      <name val="Simplified Arabic"/>
      <family val="1"/>
    </font>
    <font>
      <sz val="13"/>
      <name val="Simplified Arabic"/>
      <family val="1"/>
    </font>
  </fonts>
  <fills count="44">
    <fill>
      <patternFill patternType="none"/>
    </fill>
    <fill>
      <patternFill patternType="gray125"/>
    </fill>
    <fill>
      <patternFill patternType="solid">
        <fgColor theme="0" tint="-4.9989318521683403E-2"/>
        <bgColor indexed="64"/>
      </patternFill>
    </fill>
    <fill>
      <patternFill patternType="solid">
        <fgColor theme="6" tint="0.79998168889431442"/>
        <bgColor indexed="64"/>
      </patternFill>
    </fill>
    <fill>
      <patternFill patternType="solid">
        <fgColor theme="6" tint="-0.499984740745262"/>
        <bgColor indexed="64"/>
      </patternFill>
    </fill>
    <fill>
      <patternFill patternType="solid">
        <fgColor theme="9" tint="0.79998168889431442"/>
        <bgColor indexed="64"/>
      </patternFill>
    </fill>
    <fill>
      <patternFill patternType="solid">
        <fgColor rgb="FF92D050"/>
        <bgColor indexed="64"/>
      </patternFill>
    </fill>
    <fill>
      <patternFill patternType="solid">
        <fgColor rgb="FFFFC000"/>
        <bgColor indexed="64"/>
      </patternFill>
    </fill>
    <fill>
      <patternFill patternType="solid">
        <fgColor theme="0"/>
        <bgColor indexed="64"/>
      </patternFill>
    </fill>
    <fill>
      <patternFill patternType="solid">
        <fgColor theme="3" tint="-0.249977111117893"/>
        <bgColor indexed="64"/>
      </patternFill>
    </fill>
    <fill>
      <patternFill patternType="solid">
        <fgColor theme="0" tint="-0.14999847407452621"/>
        <bgColor indexed="64"/>
      </patternFill>
    </fill>
    <fill>
      <patternFill patternType="solid">
        <fgColor rgb="FFC00000"/>
        <bgColor indexed="64"/>
      </patternFill>
    </fill>
    <fill>
      <patternFill patternType="solid">
        <fgColor theme="5" tint="0.79998168889431442"/>
        <bgColor indexed="64"/>
      </patternFill>
    </fill>
    <fill>
      <patternFill patternType="solid">
        <fgColor rgb="FF00B050"/>
        <bgColor indexed="64"/>
      </patternFill>
    </fill>
    <fill>
      <patternFill patternType="solid">
        <fgColor rgb="FF3E4D1F"/>
        <bgColor indexed="64"/>
      </patternFill>
    </fill>
    <fill>
      <patternFill patternType="solid">
        <fgColor theme="1" tint="0.34998626667073579"/>
        <bgColor indexed="64"/>
      </patternFill>
    </fill>
    <fill>
      <patternFill patternType="lightGray"/>
    </fill>
    <fill>
      <patternFill patternType="solid">
        <fgColor theme="6" tint="0.59999389629810485"/>
        <bgColor indexed="64"/>
      </patternFill>
    </fill>
    <fill>
      <patternFill patternType="solid">
        <fgColor theme="6" tint="-0.249977111117893"/>
        <bgColor indexed="64"/>
      </patternFill>
    </fill>
    <fill>
      <patternFill patternType="solid">
        <fgColor theme="3" tint="0.39997558519241921"/>
        <bgColor indexed="64"/>
      </patternFill>
    </fill>
    <fill>
      <patternFill patternType="solid">
        <fgColor theme="9" tint="-0.249977111117893"/>
        <bgColor indexed="64"/>
      </patternFill>
    </fill>
    <fill>
      <patternFill patternType="solid">
        <fgColor theme="5" tint="-0.249977111117893"/>
        <bgColor indexed="64"/>
      </patternFill>
    </fill>
    <fill>
      <patternFill patternType="gray0625"/>
    </fill>
    <fill>
      <patternFill patternType="solid">
        <fgColor theme="3" tint="-0.499984740745262"/>
        <bgColor indexed="64"/>
      </patternFill>
    </fill>
    <fill>
      <patternFill patternType="solid">
        <fgColor rgb="FFC0BB00"/>
        <bgColor indexed="64"/>
      </patternFill>
    </fill>
    <fill>
      <patternFill patternType="solid">
        <fgColor rgb="FFFFFFB3"/>
        <bgColor indexed="64"/>
      </patternFill>
    </fill>
    <fill>
      <patternFill patternType="solid">
        <fgColor theme="0" tint="-0.249977111117893"/>
        <bgColor indexed="64"/>
      </patternFill>
    </fill>
    <fill>
      <patternFill patternType="solid">
        <fgColor theme="9"/>
        <bgColor indexed="64"/>
      </patternFill>
    </fill>
    <fill>
      <patternFill patternType="solid">
        <fgColor theme="8"/>
        <bgColor indexed="64"/>
      </patternFill>
    </fill>
    <fill>
      <patternFill patternType="solid">
        <fgColor theme="7"/>
        <bgColor indexed="64"/>
      </patternFill>
    </fill>
    <fill>
      <patternFill patternType="solid">
        <fgColor theme="5"/>
        <bgColor indexed="64"/>
      </patternFill>
    </fill>
    <fill>
      <patternFill patternType="solid">
        <fgColor theme="3"/>
        <bgColor indexed="64"/>
      </patternFill>
    </fill>
    <fill>
      <patternFill patternType="solid">
        <fgColor theme="6"/>
        <bgColor indexed="64"/>
      </patternFill>
    </fill>
    <fill>
      <patternFill patternType="solid">
        <fgColor theme="1" tint="0.499984740745262"/>
        <bgColor indexed="64"/>
      </patternFill>
    </fill>
    <fill>
      <patternFill patternType="solid">
        <fgColor rgb="FF538135"/>
        <bgColor indexed="64"/>
      </patternFill>
    </fill>
    <fill>
      <patternFill patternType="solid">
        <fgColor rgb="FFBFBFBF"/>
        <bgColor indexed="64"/>
      </patternFill>
    </fill>
    <fill>
      <patternFill patternType="solid">
        <fgColor rgb="FFA8D08D"/>
        <bgColor indexed="64"/>
      </patternFill>
    </fill>
    <fill>
      <patternFill patternType="solid">
        <fgColor rgb="FF385623"/>
        <bgColor indexed="64"/>
      </patternFill>
    </fill>
    <fill>
      <patternFill patternType="solid">
        <fgColor rgb="FFFFFF00"/>
        <bgColor indexed="64"/>
      </patternFill>
    </fill>
    <fill>
      <patternFill patternType="solid">
        <fgColor rgb="FFB0F36D"/>
        <bgColor indexed="64"/>
      </patternFill>
    </fill>
    <fill>
      <patternFill patternType="solid">
        <fgColor rgb="FFFFFFA3"/>
        <bgColor indexed="64"/>
      </patternFill>
    </fill>
    <fill>
      <patternFill patternType="solid">
        <fgColor rgb="FFF5F5F5"/>
        <bgColor indexed="64"/>
      </patternFill>
    </fill>
    <fill>
      <patternFill patternType="solid">
        <fgColor rgb="FFF7F7F7"/>
        <bgColor indexed="64"/>
      </patternFill>
    </fill>
    <fill>
      <patternFill patternType="solid">
        <fgColor indexed="8"/>
        <bgColor indexed="64"/>
      </patternFill>
    </fill>
  </fills>
  <borders count="277">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double">
        <color indexed="64"/>
      </left>
      <right/>
      <top/>
      <bottom/>
      <diagonal/>
    </border>
    <border>
      <left style="double">
        <color indexed="64"/>
      </left>
      <right/>
      <top/>
      <bottom style="thin">
        <color indexed="64"/>
      </bottom>
      <diagonal/>
    </border>
    <border>
      <left/>
      <right style="double">
        <color indexed="64"/>
      </right>
      <top/>
      <bottom/>
      <diagonal/>
    </border>
    <border>
      <left/>
      <right/>
      <top style="medium">
        <color indexed="64"/>
      </top>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bottom/>
      <diagonal/>
    </border>
    <border>
      <left/>
      <right style="thin">
        <color indexed="64"/>
      </right>
      <top style="thin">
        <color indexed="64"/>
      </top>
      <bottom style="medium">
        <color indexed="64"/>
      </bottom>
      <diagonal/>
    </border>
    <border>
      <left style="medium">
        <color indexed="64"/>
      </left>
      <right/>
      <top style="thin">
        <color indexed="64"/>
      </top>
      <bottom style="thin">
        <color indexed="64"/>
      </bottom>
      <diagonal/>
    </border>
    <border>
      <left/>
      <right style="medium">
        <color indexed="64"/>
      </right>
      <top/>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medium">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style="thin">
        <color indexed="64"/>
      </left>
      <right style="thin">
        <color indexed="64"/>
      </right>
      <top/>
      <bottom style="double">
        <color indexed="64"/>
      </bottom>
      <diagonal/>
    </border>
    <border>
      <left/>
      <right/>
      <top style="thin">
        <color indexed="64"/>
      </top>
      <bottom style="double">
        <color indexed="64"/>
      </bottom>
      <diagonal/>
    </border>
    <border>
      <left/>
      <right/>
      <top style="double">
        <color indexed="64"/>
      </top>
      <bottom style="thin">
        <color indexed="64"/>
      </bottom>
      <diagonal/>
    </border>
    <border>
      <left style="thin">
        <color indexed="64"/>
      </left>
      <right/>
      <top style="thin">
        <color indexed="64"/>
      </top>
      <bottom style="double">
        <color indexed="64"/>
      </bottom>
      <diagonal/>
    </border>
    <border>
      <left style="thin">
        <color indexed="64"/>
      </left>
      <right style="thin">
        <color indexed="64"/>
      </right>
      <top style="double">
        <color indexed="64"/>
      </top>
      <bottom/>
      <diagonal/>
    </border>
    <border>
      <left/>
      <right/>
      <top style="double">
        <color indexed="64"/>
      </top>
      <bottom/>
      <diagonal/>
    </border>
    <border>
      <left/>
      <right style="thin">
        <color indexed="64"/>
      </right>
      <top style="thin">
        <color indexed="64"/>
      </top>
      <bottom style="double">
        <color indexed="64"/>
      </bottom>
      <diagonal/>
    </border>
    <border>
      <left/>
      <right style="double">
        <color indexed="64"/>
      </right>
      <top style="thin">
        <color indexed="64"/>
      </top>
      <bottom/>
      <diagonal/>
    </border>
    <border>
      <left/>
      <right style="medium">
        <color indexed="64"/>
      </right>
      <top style="thin">
        <color indexed="64"/>
      </top>
      <bottom/>
      <diagonal/>
    </border>
    <border>
      <left style="thin">
        <color indexed="64"/>
      </left>
      <right/>
      <top style="thin">
        <color auto="1"/>
      </top>
      <bottom style="thin">
        <color theme="6" tint="-0.24994659260841701"/>
      </bottom>
      <diagonal/>
    </border>
    <border>
      <left/>
      <right style="thin">
        <color theme="6" tint="0.59996337778862885"/>
      </right>
      <top style="thin">
        <color auto="1"/>
      </top>
      <bottom style="thin">
        <color theme="6" tint="-0.24994659260841701"/>
      </bottom>
      <diagonal/>
    </border>
    <border>
      <left style="thin">
        <color theme="6" tint="0.59996337778862885"/>
      </left>
      <right style="thin">
        <color theme="6" tint="0.59996337778862885"/>
      </right>
      <top style="thin">
        <color indexed="64"/>
      </top>
      <bottom/>
      <diagonal/>
    </border>
    <border>
      <left style="thin">
        <color theme="6" tint="0.59996337778862885"/>
      </left>
      <right/>
      <top style="thin">
        <color indexed="64"/>
      </top>
      <bottom/>
      <diagonal/>
    </border>
    <border>
      <left/>
      <right style="thin">
        <color indexed="64"/>
      </right>
      <top style="thin">
        <color theme="6" tint="-0.24994659260841701"/>
      </top>
      <bottom style="thin">
        <color theme="6" tint="-0.24994659260841701"/>
      </bottom>
      <diagonal/>
    </border>
    <border>
      <left style="thin">
        <color indexed="64"/>
      </left>
      <right/>
      <top style="thin">
        <color theme="6" tint="-0.24994659260841701"/>
      </top>
      <bottom style="thin">
        <color theme="6" tint="-0.24994659260841701"/>
      </bottom>
      <diagonal/>
    </border>
    <border>
      <left/>
      <right style="thin">
        <color theme="6" tint="0.59996337778862885"/>
      </right>
      <top style="thin">
        <color theme="6" tint="-0.24994659260841701"/>
      </top>
      <bottom style="thin">
        <color theme="6" tint="-0.24994659260841701"/>
      </bottom>
      <diagonal/>
    </border>
    <border>
      <left style="thin">
        <color theme="6" tint="0.59996337778862885"/>
      </left>
      <right style="thin">
        <color theme="6" tint="0.59996337778862885"/>
      </right>
      <top style="thin">
        <color theme="6" tint="-0.24994659260841701"/>
      </top>
      <bottom style="thin">
        <color theme="6" tint="-0.24994659260841701"/>
      </bottom>
      <diagonal/>
    </border>
    <border>
      <left/>
      <right/>
      <top style="thin">
        <color theme="6" tint="-0.24994659260841701"/>
      </top>
      <bottom style="thin">
        <color theme="6" tint="-0.24994659260841701"/>
      </bottom>
      <diagonal/>
    </border>
    <border>
      <left style="thin">
        <color theme="6" tint="0.59996337778862885"/>
      </left>
      <right/>
      <top style="thin">
        <color theme="6" tint="-0.24994659260841701"/>
      </top>
      <bottom style="thin">
        <color theme="6" tint="-0.24994659260841701"/>
      </bottom>
      <diagonal/>
    </border>
    <border>
      <left style="thin">
        <color theme="6" tint="0.59996337778862885"/>
      </left>
      <right style="thin">
        <color theme="6" tint="0.59996337778862885"/>
      </right>
      <top/>
      <bottom/>
      <diagonal/>
    </border>
    <border>
      <left style="thin">
        <color theme="6" tint="0.59996337778862885"/>
      </left>
      <right/>
      <top/>
      <bottom/>
      <diagonal/>
    </border>
    <border>
      <left style="thin">
        <color indexed="64"/>
      </left>
      <right/>
      <top style="thin">
        <color theme="6" tint="-0.24994659260841701"/>
      </top>
      <bottom style="thin">
        <color indexed="64"/>
      </bottom>
      <diagonal/>
    </border>
    <border>
      <left/>
      <right style="thin">
        <color theme="6" tint="0.59996337778862885"/>
      </right>
      <top style="thin">
        <color theme="6" tint="-0.24994659260841701"/>
      </top>
      <bottom style="thin">
        <color indexed="64"/>
      </bottom>
      <diagonal/>
    </border>
    <border>
      <left style="thin">
        <color theme="6" tint="0.59996337778862885"/>
      </left>
      <right style="thin">
        <color theme="6" tint="0.59996337778862885"/>
      </right>
      <top/>
      <bottom style="thin">
        <color indexed="64"/>
      </bottom>
      <diagonal/>
    </border>
    <border>
      <left style="thin">
        <color theme="6" tint="0.59996337778862885"/>
      </left>
      <right/>
      <top/>
      <bottom style="thin">
        <color indexed="64"/>
      </bottom>
      <diagonal/>
    </border>
    <border>
      <left/>
      <right style="thin">
        <color indexed="64"/>
      </right>
      <top style="thin">
        <color theme="6" tint="-0.24994659260841701"/>
      </top>
      <bottom style="thin">
        <color indexed="64"/>
      </bottom>
      <diagonal/>
    </border>
    <border>
      <left/>
      <right style="thin">
        <color indexed="64"/>
      </right>
      <top style="double">
        <color indexed="64"/>
      </top>
      <bottom/>
      <diagonal/>
    </border>
    <border>
      <left style="thin">
        <color indexed="64"/>
      </left>
      <right/>
      <top style="double">
        <color indexed="64"/>
      </top>
      <bottom style="thin">
        <color indexed="64"/>
      </bottom>
      <diagonal/>
    </border>
    <border>
      <left/>
      <right/>
      <top style="thin">
        <color theme="0" tint="-0.499984740745262"/>
      </top>
      <bottom/>
      <diagonal/>
    </border>
    <border>
      <left/>
      <right/>
      <top/>
      <bottom style="thin">
        <color theme="0" tint="-0.499984740745262"/>
      </bottom>
      <diagonal/>
    </border>
    <border>
      <left style="thin">
        <color indexed="64"/>
      </left>
      <right style="thin">
        <color indexed="64"/>
      </right>
      <top style="thin">
        <color indexed="64"/>
      </top>
      <bottom style="thin">
        <color theme="0" tint="-0.499984740745262"/>
      </bottom>
      <diagonal/>
    </border>
    <border>
      <left style="thick">
        <color indexed="64"/>
      </left>
      <right/>
      <top style="thin">
        <color indexed="64"/>
      </top>
      <bottom style="thin">
        <color indexed="64"/>
      </bottom>
      <diagonal/>
    </border>
    <border>
      <left style="thin">
        <color indexed="64"/>
      </left>
      <right style="thin">
        <color indexed="64"/>
      </right>
      <top style="thin">
        <color theme="0" tint="-0.499984740745262"/>
      </top>
      <bottom style="thin">
        <color theme="0" tint="-0.499984740745262"/>
      </bottom>
      <diagonal/>
    </border>
    <border>
      <left/>
      <right/>
      <top style="thin">
        <color theme="0" tint="-0.34998626667073579"/>
      </top>
      <bottom/>
      <diagonal/>
    </border>
    <border>
      <left/>
      <right/>
      <top style="thin">
        <color theme="0" tint="-0.24994659260841701"/>
      </top>
      <bottom/>
      <diagonal/>
    </border>
    <border>
      <left style="thin">
        <color indexed="64"/>
      </left>
      <right style="hair">
        <color theme="0" tint="-0.499984740745262"/>
      </right>
      <top style="thin">
        <color indexed="64"/>
      </top>
      <bottom style="thin">
        <color theme="0" tint="-0.499984740745262"/>
      </bottom>
      <diagonal/>
    </border>
    <border>
      <left style="hair">
        <color theme="0" tint="-0.499984740745262"/>
      </left>
      <right style="hair">
        <color theme="0" tint="-0.499984740745262"/>
      </right>
      <top style="thin">
        <color indexed="64"/>
      </top>
      <bottom style="thin">
        <color theme="0" tint="-0.499984740745262"/>
      </bottom>
      <diagonal/>
    </border>
    <border>
      <left style="hair">
        <color theme="0" tint="-0.499984740745262"/>
      </left>
      <right style="thin">
        <color indexed="64"/>
      </right>
      <top style="thin">
        <color indexed="64"/>
      </top>
      <bottom style="thin">
        <color theme="0" tint="-0.499984740745262"/>
      </bottom>
      <diagonal/>
    </border>
    <border>
      <left style="hair">
        <color theme="0" tint="-0.499984740745262"/>
      </left>
      <right/>
      <top style="thin">
        <color indexed="64"/>
      </top>
      <bottom style="thin">
        <color theme="0" tint="-0.499984740745262"/>
      </bottom>
      <diagonal/>
    </border>
    <border>
      <left style="thick">
        <color indexed="64"/>
      </left>
      <right style="hair">
        <color theme="0" tint="-0.499984740745262"/>
      </right>
      <top style="thin">
        <color indexed="64"/>
      </top>
      <bottom style="thin">
        <color theme="0" tint="-0.499984740745262"/>
      </bottom>
      <diagonal/>
    </border>
    <border>
      <left style="thin">
        <color indexed="64"/>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indexed="64"/>
      </right>
      <top style="thin">
        <color theme="0" tint="-0.499984740745262"/>
      </top>
      <bottom style="thin">
        <color theme="0" tint="-0.499984740745262"/>
      </bottom>
      <diagonal/>
    </border>
    <border>
      <left style="thick">
        <color indexed="64"/>
      </left>
      <right/>
      <top style="thin">
        <color theme="0" tint="-0.499984740745262"/>
      </top>
      <bottom style="thin">
        <color theme="0" tint="-0.499984740745262"/>
      </bottom>
      <diagonal/>
    </border>
    <border>
      <left/>
      <right/>
      <top/>
      <bottom style="thin">
        <color theme="0" tint="-0.24994659260841701"/>
      </bottom>
      <diagonal/>
    </border>
    <border>
      <left/>
      <right/>
      <top/>
      <bottom style="thin">
        <color theme="0" tint="-0.34998626667073579"/>
      </bottom>
      <diagonal/>
    </border>
    <border>
      <left style="thin">
        <color indexed="64"/>
      </left>
      <right style="thin">
        <color indexed="64"/>
      </right>
      <top style="thin">
        <color theme="0" tint="-0.499984740745262"/>
      </top>
      <bottom/>
      <diagonal/>
    </border>
    <border>
      <left style="thin">
        <color indexed="64"/>
      </left>
      <right style="hair">
        <color theme="0" tint="-0.24994659260841701"/>
      </right>
      <top style="thin">
        <color theme="0" tint="-0.499984740745262"/>
      </top>
      <bottom/>
      <diagonal/>
    </border>
    <border>
      <left style="hair">
        <color theme="0" tint="-0.24994659260841701"/>
      </left>
      <right style="hair">
        <color theme="0" tint="-0.24994659260841701"/>
      </right>
      <top style="thin">
        <color theme="0" tint="-0.499984740745262"/>
      </top>
      <bottom/>
      <diagonal/>
    </border>
    <border>
      <left style="hair">
        <color theme="0" tint="-0.24994659260841701"/>
      </left>
      <right style="thin">
        <color indexed="64"/>
      </right>
      <top style="thin">
        <color theme="0" tint="-0.499984740745262"/>
      </top>
      <bottom/>
      <diagonal/>
    </border>
    <border>
      <left style="hair">
        <color theme="0" tint="-0.24994659260841701"/>
      </left>
      <right/>
      <top style="thin">
        <color theme="0" tint="-0.499984740745262"/>
      </top>
      <bottom/>
      <diagonal/>
    </border>
    <border>
      <left style="thick">
        <color indexed="64"/>
      </left>
      <right style="hair">
        <color theme="0" tint="-0.24994659260841701"/>
      </right>
      <top style="thin">
        <color theme="0" tint="-0.499984740745262"/>
      </top>
      <bottom/>
      <diagonal/>
    </border>
    <border>
      <left/>
      <right/>
      <top style="thin">
        <color theme="0" tint="-0.24994659260841701"/>
      </top>
      <bottom style="thin">
        <color theme="0" tint="-0.24994659260841701"/>
      </bottom>
      <diagonal/>
    </border>
    <border>
      <left style="thin">
        <color indexed="64"/>
      </left>
      <right style="hair">
        <color theme="0" tint="-0.24994659260841701"/>
      </right>
      <top/>
      <bottom/>
      <diagonal/>
    </border>
    <border>
      <left style="hair">
        <color theme="0" tint="-0.24994659260841701"/>
      </left>
      <right style="hair">
        <color theme="0" tint="-0.24994659260841701"/>
      </right>
      <top/>
      <bottom/>
      <diagonal/>
    </border>
    <border>
      <left style="hair">
        <color theme="0" tint="-0.24994659260841701"/>
      </left>
      <right style="thin">
        <color indexed="64"/>
      </right>
      <top/>
      <bottom/>
      <diagonal/>
    </border>
    <border>
      <left style="hair">
        <color theme="0" tint="-0.24994659260841701"/>
      </left>
      <right/>
      <top/>
      <bottom/>
      <diagonal/>
    </border>
    <border>
      <left style="thick">
        <color indexed="64"/>
      </left>
      <right style="hair">
        <color theme="0" tint="-0.24994659260841701"/>
      </right>
      <top/>
      <bottom/>
      <diagonal/>
    </border>
    <border>
      <left style="thin">
        <color indexed="64"/>
      </left>
      <right/>
      <top style="thin">
        <color theme="0" tint="-0.499984740745262"/>
      </top>
      <bottom style="thin">
        <color indexed="64"/>
      </bottom>
      <diagonal/>
    </border>
    <border>
      <left/>
      <right/>
      <top style="thin">
        <color theme="0" tint="-0.499984740745262"/>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right style="thin">
        <color indexed="64"/>
      </right>
      <top style="double">
        <color indexed="64"/>
      </top>
      <bottom style="thin">
        <color indexed="64"/>
      </bottom>
      <diagonal/>
    </border>
    <border>
      <left/>
      <right/>
      <top style="thin">
        <color theme="0" tint="-0.499984740745262"/>
      </top>
      <bottom style="thin">
        <color theme="0" tint="-0.34998626667073579"/>
      </bottom>
      <diagonal/>
    </border>
    <border>
      <left/>
      <right/>
      <top style="thin">
        <color theme="0" tint="-0.34998626667073579"/>
      </top>
      <bottom style="thin">
        <color theme="0" tint="-0.34998626667073579"/>
      </bottom>
      <diagonal/>
    </border>
    <border>
      <left/>
      <right/>
      <top style="thin">
        <color theme="1" tint="0.34998626667073579"/>
      </top>
      <bottom style="thin">
        <color theme="0" tint="-0.499984740745262"/>
      </bottom>
      <diagonal/>
    </border>
    <border>
      <left/>
      <right/>
      <top/>
      <bottom style="thin">
        <color theme="1" tint="0.499984740745262"/>
      </bottom>
      <diagonal/>
    </border>
    <border>
      <left/>
      <right/>
      <top style="thin">
        <color theme="1" tint="0.499984740745262"/>
      </top>
      <bottom/>
      <diagonal/>
    </border>
    <border>
      <left/>
      <right/>
      <top style="thin">
        <color theme="0" tint="-0.499984740745262"/>
      </top>
      <bottom style="thin">
        <color theme="1" tint="0.499984740745262"/>
      </bottom>
      <diagonal/>
    </border>
    <border>
      <left style="medium">
        <color indexed="64"/>
      </left>
      <right/>
      <top style="medium">
        <color indexed="64"/>
      </top>
      <bottom style="thin">
        <color theme="0" tint="-0.499984740745262"/>
      </bottom>
      <diagonal/>
    </border>
    <border>
      <left/>
      <right/>
      <top style="medium">
        <color indexed="64"/>
      </top>
      <bottom style="thin">
        <color theme="0" tint="-0.499984740745262"/>
      </bottom>
      <diagonal/>
    </border>
    <border>
      <left/>
      <right style="medium">
        <color indexed="64"/>
      </right>
      <top style="medium">
        <color indexed="64"/>
      </top>
      <bottom style="thin">
        <color theme="0" tint="-0.499984740745262"/>
      </bottom>
      <diagonal/>
    </border>
    <border>
      <left style="medium">
        <color indexed="64"/>
      </left>
      <right style="thin">
        <color indexed="64"/>
      </right>
      <top/>
      <bottom style="thin">
        <color indexed="64"/>
      </bottom>
      <diagonal/>
    </border>
    <border>
      <left style="thin">
        <color indexed="64"/>
      </left>
      <right/>
      <top style="thin">
        <color theme="0" tint="-0.499984740745262"/>
      </top>
      <bottom/>
      <diagonal/>
    </border>
    <border>
      <left/>
      <right style="double">
        <color indexed="64"/>
      </right>
      <top style="thin">
        <color theme="0" tint="-0.499984740745262"/>
      </top>
      <bottom/>
      <diagonal/>
    </border>
    <border>
      <left style="medium">
        <color indexed="64"/>
      </left>
      <right/>
      <top style="thin">
        <color theme="0" tint="-0.499984740745262"/>
      </top>
      <bottom/>
      <diagonal/>
    </border>
    <border>
      <left style="medium">
        <color indexed="64"/>
      </left>
      <right/>
      <top/>
      <bottom style="thin">
        <color theme="0" tint="-0.499984740745262"/>
      </bottom>
      <diagonal/>
    </border>
    <border>
      <left/>
      <right style="medium">
        <color indexed="64"/>
      </right>
      <top/>
      <bottom style="thin">
        <color theme="0" tint="-0.499984740745262"/>
      </bottom>
      <diagonal/>
    </border>
    <border>
      <left style="thin">
        <color indexed="64"/>
      </left>
      <right/>
      <top/>
      <bottom style="thin">
        <color theme="0" tint="-0.499984740745262"/>
      </bottom>
      <diagonal/>
    </border>
    <border>
      <left/>
      <right style="double">
        <color indexed="64"/>
      </right>
      <top/>
      <bottom style="thin">
        <color theme="0" tint="-0.499984740745262"/>
      </bottom>
      <diagonal/>
    </border>
    <border>
      <left style="thin">
        <color indexed="64"/>
      </left>
      <right style="double">
        <color indexed="64"/>
      </right>
      <top style="thin">
        <color indexed="64"/>
      </top>
      <bottom style="thin">
        <color indexed="64"/>
      </bottom>
      <diagonal/>
    </border>
    <border>
      <left style="double">
        <color indexed="64"/>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medium">
        <color indexed="64"/>
      </right>
      <top style="thin">
        <color theme="0" tint="-0.499984740745262"/>
      </top>
      <bottom style="thin">
        <color theme="0" tint="-0.499984740745262"/>
      </bottom>
      <diagonal/>
    </border>
    <border>
      <left style="thin">
        <color indexed="64"/>
      </left>
      <right style="double">
        <color indexed="64"/>
      </right>
      <top/>
      <bottom/>
      <diagonal/>
    </border>
    <border>
      <left style="double">
        <color indexed="64"/>
      </left>
      <right style="thin">
        <color theme="0" tint="-0.499984740745262"/>
      </right>
      <top style="thin">
        <color theme="0" tint="-0.499984740745262"/>
      </top>
      <bottom style="thin">
        <color indexed="64"/>
      </bottom>
      <diagonal/>
    </border>
    <border>
      <left style="thin">
        <color theme="0" tint="-0.499984740745262"/>
      </left>
      <right style="thin">
        <color theme="0" tint="-0.499984740745262"/>
      </right>
      <top style="thin">
        <color theme="0" tint="-0.499984740745262"/>
      </top>
      <bottom style="thin">
        <color indexed="64"/>
      </bottom>
      <diagonal/>
    </border>
    <border>
      <left style="thin">
        <color theme="0" tint="-0.499984740745262"/>
      </left>
      <right style="medium">
        <color indexed="64"/>
      </right>
      <top style="thin">
        <color theme="0" tint="-0.499984740745262"/>
      </top>
      <bottom style="thin">
        <color indexed="64"/>
      </bottom>
      <diagonal/>
    </border>
    <border>
      <left style="double">
        <color indexed="64"/>
      </left>
      <right/>
      <top style="thin">
        <color indexed="64"/>
      </top>
      <bottom style="thin">
        <color theme="0" tint="-0.499984740745262"/>
      </bottom>
      <diagonal/>
    </border>
    <border>
      <left/>
      <right/>
      <top style="thin">
        <color indexed="64"/>
      </top>
      <bottom style="thin">
        <color theme="0" tint="-0.499984740745262"/>
      </bottom>
      <diagonal/>
    </border>
    <border>
      <left/>
      <right style="medium">
        <color indexed="64"/>
      </right>
      <top style="thin">
        <color indexed="64"/>
      </top>
      <bottom style="thin">
        <color theme="0" tint="-0.499984740745262"/>
      </bottom>
      <diagonal/>
    </border>
    <border>
      <left style="double">
        <color indexed="64"/>
      </left>
      <right/>
      <top style="thin">
        <color theme="0" tint="-0.499984740745262"/>
      </top>
      <bottom style="thin">
        <color theme="0" tint="-0.499984740745262"/>
      </bottom>
      <diagonal/>
    </border>
    <border>
      <left/>
      <right style="medium">
        <color indexed="64"/>
      </right>
      <top style="thin">
        <color theme="0" tint="-0.499984740745262"/>
      </top>
      <bottom style="thin">
        <color theme="0" tint="-0.499984740745262"/>
      </bottom>
      <diagonal/>
    </border>
    <border>
      <left style="thin">
        <color theme="0" tint="-0.34998626667073579"/>
      </left>
      <right/>
      <top style="thin">
        <color theme="0" tint="-0.34998626667073579"/>
      </top>
      <bottom style="thin">
        <color theme="0" tint="-0.34998626667073579"/>
      </bottom>
      <diagonal/>
    </border>
    <border>
      <left style="medium">
        <color theme="1" tint="0.499984740745262"/>
      </left>
      <right/>
      <top style="medium">
        <color theme="1" tint="0.499984740745262"/>
      </top>
      <bottom style="thin">
        <color theme="0" tint="-0.34998626667073579"/>
      </bottom>
      <diagonal/>
    </border>
    <border>
      <left/>
      <right/>
      <top style="medium">
        <color theme="1" tint="0.499984740745262"/>
      </top>
      <bottom style="thin">
        <color theme="0" tint="-0.34998626667073579"/>
      </bottom>
      <diagonal/>
    </border>
    <border>
      <left/>
      <right style="medium">
        <color theme="1" tint="0.499984740745262"/>
      </right>
      <top style="medium">
        <color theme="1" tint="0.499984740745262"/>
      </top>
      <bottom style="thin">
        <color theme="0" tint="-0.34998626667073579"/>
      </bottom>
      <diagonal/>
    </border>
    <border>
      <left style="medium">
        <color theme="1" tint="0.499984740745262"/>
      </left>
      <right/>
      <top style="thin">
        <color theme="0" tint="-0.34998626667073579"/>
      </top>
      <bottom style="thin">
        <color theme="0" tint="-0.34998626667073579"/>
      </bottom>
      <diagonal/>
    </border>
    <border>
      <left/>
      <right style="medium">
        <color theme="1" tint="0.499984740745262"/>
      </right>
      <top style="thin">
        <color theme="0" tint="-0.34998626667073579"/>
      </top>
      <bottom style="thin">
        <color theme="0" tint="-0.34998626667073579"/>
      </bottom>
      <diagonal/>
    </border>
    <border>
      <left style="medium">
        <color theme="1" tint="0.499984740745262"/>
      </left>
      <right/>
      <top style="thin">
        <color theme="0" tint="-0.34998626667073579"/>
      </top>
      <bottom style="medium">
        <color theme="1" tint="0.499984740745262"/>
      </bottom>
      <diagonal/>
    </border>
    <border>
      <left/>
      <right/>
      <top style="thin">
        <color theme="0" tint="-0.34998626667073579"/>
      </top>
      <bottom style="medium">
        <color theme="1" tint="0.499984740745262"/>
      </bottom>
      <diagonal/>
    </border>
    <border>
      <left/>
      <right style="medium">
        <color theme="1" tint="0.499984740745262"/>
      </right>
      <top style="thin">
        <color theme="0" tint="-0.34998626667073579"/>
      </top>
      <bottom style="medium">
        <color theme="1" tint="0.499984740745262"/>
      </bottom>
      <diagonal/>
    </border>
    <border>
      <left/>
      <right/>
      <top style="thin">
        <color theme="0" tint="-0.24994659260841701"/>
      </top>
      <bottom style="thin">
        <color theme="0" tint="-0.499984740745262"/>
      </bottom>
      <diagonal/>
    </border>
    <border>
      <left style="thin">
        <color indexed="64"/>
      </left>
      <right style="thin">
        <color indexed="64"/>
      </right>
      <top style="thin">
        <color theme="1" tint="0.499984740745262"/>
      </top>
      <bottom/>
      <diagonal/>
    </border>
    <border>
      <left/>
      <right/>
      <top style="thin">
        <color theme="1" tint="0.499984740745262"/>
      </top>
      <bottom style="thin">
        <color theme="1" tint="0.499984740745262"/>
      </bottom>
      <diagonal/>
    </border>
    <border>
      <left/>
      <right/>
      <top style="thin">
        <color theme="0" tint="-0.34998626667073579"/>
      </top>
      <bottom style="thin">
        <color theme="0" tint="-0.499984740745262"/>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theme="0" tint="-0.499984740745262"/>
      </left>
      <right/>
      <top style="thin">
        <color theme="0" tint="-0.499984740745262"/>
      </top>
      <bottom style="thin">
        <color theme="0" tint="-0.34998626667073579"/>
      </bottom>
      <diagonal/>
    </border>
    <border>
      <left/>
      <right style="thin">
        <color theme="0" tint="-0.499984740745262"/>
      </right>
      <top style="thin">
        <color theme="0" tint="-0.499984740745262"/>
      </top>
      <bottom style="thin">
        <color theme="0" tint="-0.34998626667073579"/>
      </bottom>
      <diagonal/>
    </border>
    <border>
      <left style="thin">
        <color theme="0" tint="-0.499984740745262"/>
      </left>
      <right/>
      <top style="thin">
        <color theme="0" tint="-0.34998626667073579"/>
      </top>
      <bottom/>
      <diagonal/>
    </border>
    <border>
      <left style="thin">
        <color theme="0" tint="-0.499984740745262"/>
      </left>
      <right/>
      <top/>
      <bottom/>
      <diagonal/>
    </border>
    <border>
      <left style="thin">
        <color theme="0" tint="-0.499984740745262"/>
      </left>
      <right/>
      <top/>
      <bottom style="thin">
        <color theme="0" tint="-0.34998626667073579"/>
      </bottom>
      <diagonal/>
    </border>
    <border>
      <left style="hair">
        <color theme="0" tint="-0.499984740745262"/>
      </left>
      <right/>
      <top style="thin">
        <color theme="0" tint="-0.34998626667073579"/>
      </top>
      <bottom style="hair">
        <color theme="0" tint="-0.499984740745262"/>
      </bottom>
      <diagonal/>
    </border>
    <border>
      <left style="hair">
        <color theme="0" tint="-0.499984740745262"/>
      </left>
      <right/>
      <top style="hair">
        <color theme="0" tint="-0.499984740745262"/>
      </top>
      <bottom style="hair">
        <color theme="0" tint="-0.499984740745262"/>
      </bottom>
      <diagonal/>
    </border>
    <border>
      <left style="hair">
        <color theme="0" tint="-0.499984740745262"/>
      </left>
      <right/>
      <top style="hair">
        <color theme="0" tint="-0.499984740745262"/>
      </top>
      <bottom style="thin">
        <color theme="0" tint="-0.34998626667073579"/>
      </bottom>
      <diagonal/>
    </border>
    <border>
      <left/>
      <right style="thin">
        <color theme="0" tint="-0.499984740745262"/>
      </right>
      <top style="thin">
        <color theme="0" tint="-0.34998626667073579"/>
      </top>
      <bottom/>
      <diagonal/>
    </border>
    <border>
      <left style="thin">
        <color theme="0" tint="-0.499984740745262"/>
      </left>
      <right/>
      <top/>
      <bottom style="thin">
        <color theme="0" tint="-0.499984740745262"/>
      </bottom>
      <diagonal/>
    </border>
    <border>
      <left style="hair">
        <color theme="0" tint="-0.499984740745262"/>
      </left>
      <right/>
      <top style="hair">
        <color theme="0" tint="-0.499984740745262"/>
      </top>
      <bottom style="thin">
        <color theme="0" tint="-0.499984740745262"/>
      </bottom>
      <diagonal/>
    </border>
    <border>
      <left style="thin">
        <color theme="0" tint="-0.499984740745262"/>
      </left>
      <right/>
      <top style="thin">
        <color theme="0" tint="-0.499984740745262"/>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style="thin">
        <color theme="0" tint="-0.499984740745262"/>
      </left>
      <right/>
      <top style="thin">
        <color theme="0" tint="-0.34998626667073579"/>
      </top>
      <bottom style="thin">
        <color theme="0" tint="-0.499984740745262"/>
      </bottom>
      <diagonal/>
    </border>
    <border>
      <left/>
      <right style="thin">
        <color theme="0" tint="-0.499984740745262"/>
      </right>
      <top style="thin">
        <color theme="0" tint="-0.34998626667073579"/>
      </top>
      <bottom style="thin">
        <color theme="0" tint="-0.499984740745262"/>
      </bottom>
      <diagonal/>
    </border>
    <border>
      <left/>
      <right style="thin">
        <color theme="0" tint="-0.499984740745262"/>
      </right>
      <top/>
      <bottom style="thin">
        <color theme="0" tint="-0.34998626667073579"/>
      </bottom>
      <diagonal/>
    </border>
    <border>
      <left/>
      <right/>
      <top style="thin">
        <color theme="1" tint="0.499984740745262"/>
      </top>
      <bottom style="thin">
        <color theme="0" tint="-0.34998626667073579"/>
      </bottom>
      <diagonal/>
    </border>
    <border>
      <left/>
      <right/>
      <top style="thin">
        <color theme="0" tint="-0.34998626667073579"/>
      </top>
      <bottom style="thin">
        <color theme="1" tint="0.499984740745262"/>
      </bottom>
      <diagonal/>
    </border>
    <border>
      <left/>
      <right style="thin">
        <color theme="0" tint="-0.499984740745262"/>
      </right>
      <top style="thin">
        <color theme="0" tint="-0.499984740745262"/>
      </top>
      <bottom style="thin">
        <color theme="0" tint="-0.499984740745262"/>
      </bottom>
      <diagonal/>
    </border>
    <border>
      <left style="medium">
        <color indexed="64"/>
      </left>
      <right style="thin">
        <color theme="0" tint="-0.499984740745262"/>
      </right>
      <top style="medium">
        <color indexed="64"/>
      </top>
      <bottom style="thin">
        <color theme="0" tint="-0.499984740745262"/>
      </bottom>
      <diagonal/>
    </border>
    <border>
      <left style="thin">
        <color theme="0" tint="-0.499984740745262"/>
      </left>
      <right style="thin">
        <color theme="0" tint="-0.499984740745262"/>
      </right>
      <top style="medium">
        <color indexed="64"/>
      </top>
      <bottom style="thin">
        <color theme="0" tint="-0.499984740745262"/>
      </bottom>
      <diagonal/>
    </border>
    <border>
      <left style="thin">
        <color theme="0" tint="-0.499984740745262"/>
      </left>
      <right style="medium">
        <color indexed="64"/>
      </right>
      <top style="medium">
        <color indexed="64"/>
      </top>
      <bottom style="thin">
        <color theme="0" tint="-0.499984740745262"/>
      </bottom>
      <diagonal/>
    </border>
    <border>
      <left style="medium">
        <color indexed="64"/>
      </left>
      <right style="thin">
        <color theme="0" tint="-0.499984740745262"/>
      </right>
      <top style="thin">
        <color theme="0" tint="-0.499984740745262"/>
      </top>
      <bottom style="thin">
        <color theme="0" tint="-0.499984740745262"/>
      </bottom>
      <diagonal/>
    </border>
    <border>
      <left style="medium">
        <color indexed="64"/>
      </left>
      <right style="thin">
        <color theme="0" tint="-0.499984740745262"/>
      </right>
      <top style="thin">
        <color theme="0" tint="-0.499984740745262"/>
      </top>
      <bottom style="medium">
        <color indexed="64"/>
      </bottom>
      <diagonal/>
    </border>
    <border>
      <left style="thin">
        <color theme="0" tint="-0.499984740745262"/>
      </left>
      <right style="thin">
        <color theme="0" tint="-0.499984740745262"/>
      </right>
      <top style="thin">
        <color theme="0" tint="-0.499984740745262"/>
      </top>
      <bottom style="medium">
        <color indexed="64"/>
      </bottom>
      <diagonal/>
    </border>
    <border>
      <left style="thin">
        <color theme="0" tint="-0.499984740745262"/>
      </left>
      <right style="medium">
        <color indexed="64"/>
      </right>
      <top style="thin">
        <color theme="0" tint="-0.499984740745262"/>
      </top>
      <bottom style="medium">
        <color indexed="64"/>
      </bottom>
      <diagonal/>
    </border>
    <border>
      <left/>
      <right style="thin">
        <color theme="0" tint="-0.499984740745262"/>
      </right>
      <top style="thin">
        <color theme="0" tint="-0.499984740745262"/>
      </top>
      <bottom style="medium">
        <color indexed="64"/>
      </bottom>
      <diagonal/>
    </border>
    <border>
      <left style="thin">
        <color theme="0" tint="-0.499984740745262"/>
      </left>
      <right style="medium">
        <color indexed="64"/>
      </right>
      <top/>
      <bottom style="thin">
        <color theme="0" tint="-0.499984740745262"/>
      </bottom>
      <diagonal/>
    </border>
    <border>
      <left style="thin">
        <color indexed="23"/>
      </left>
      <right/>
      <top style="thin">
        <color indexed="23"/>
      </top>
      <bottom style="thin">
        <color indexed="23"/>
      </bottom>
      <diagonal/>
    </border>
    <border>
      <left/>
      <right/>
      <top style="thin">
        <color indexed="23"/>
      </top>
      <bottom style="thin">
        <color indexed="23"/>
      </bottom>
      <diagonal/>
    </border>
    <border>
      <left/>
      <right style="thin">
        <color indexed="23"/>
      </right>
      <top style="thin">
        <color indexed="23"/>
      </top>
      <bottom style="thin">
        <color indexed="23"/>
      </bottom>
      <diagonal/>
    </border>
    <border>
      <left style="thin">
        <color indexed="23"/>
      </left>
      <right/>
      <top style="thin">
        <color indexed="23"/>
      </top>
      <bottom/>
      <diagonal/>
    </border>
    <border>
      <left/>
      <right/>
      <top style="thin">
        <color indexed="23"/>
      </top>
      <bottom/>
      <diagonal/>
    </border>
    <border>
      <left/>
      <right/>
      <top style="hair">
        <color indexed="23"/>
      </top>
      <bottom style="thin">
        <color indexed="23"/>
      </bottom>
      <diagonal/>
    </border>
    <border>
      <left style="thin">
        <color indexed="23"/>
      </left>
      <right style="thin">
        <color indexed="23"/>
      </right>
      <top/>
      <bottom/>
      <diagonal/>
    </border>
    <border>
      <left/>
      <right/>
      <top style="thin">
        <color indexed="23"/>
      </top>
      <bottom style="hair">
        <color indexed="23"/>
      </bottom>
      <diagonal/>
    </border>
    <border>
      <left/>
      <right/>
      <top style="hair">
        <color indexed="23"/>
      </top>
      <bottom style="hair">
        <color indexed="23"/>
      </bottom>
      <diagonal/>
    </border>
    <border>
      <left style="thin">
        <color indexed="23"/>
      </left>
      <right/>
      <top/>
      <bottom style="thin">
        <color indexed="23"/>
      </bottom>
      <diagonal/>
    </border>
    <border>
      <left/>
      <right/>
      <top/>
      <bottom style="thin">
        <color indexed="23"/>
      </bottom>
      <diagonal/>
    </border>
    <border>
      <left style="thin">
        <color indexed="23"/>
      </left>
      <right style="thin">
        <color indexed="23"/>
      </right>
      <top style="thin">
        <color indexed="23"/>
      </top>
      <bottom style="thin">
        <color indexed="23"/>
      </bottom>
      <diagonal/>
    </border>
    <border>
      <left style="thin">
        <color indexed="23"/>
      </left>
      <right/>
      <top style="thin">
        <color indexed="23"/>
      </top>
      <bottom style="hair">
        <color indexed="23"/>
      </bottom>
      <diagonal/>
    </border>
    <border>
      <left style="thin">
        <color indexed="23"/>
      </left>
      <right/>
      <top style="hair">
        <color indexed="23"/>
      </top>
      <bottom style="hair">
        <color indexed="23"/>
      </bottom>
      <diagonal/>
    </border>
    <border>
      <left style="thin">
        <color indexed="23"/>
      </left>
      <right/>
      <top style="hair">
        <color indexed="23"/>
      </top>
      <bottom style="thin">
        <color indexed="23"/>
      </bottom>
      <diagonal/>
    </border>
    <border>
      <left/>
      <right style="thin">
        <color indexed="23"/>
      </right>
      <top style="thin">
        <color indexed="23"/>
      </top>
      <bottom/>
      <diagonal/>
    </border>
    <border>
      <left/>
      <right style="thin">
        <color indexed="23"/>
      </right>
      <top/>
      <bottom style="thin">
        <color indexed="23"/>
      </bottom>
      <diagonal/>
    </border>
    <border>
      <left style="thin">
        <color theme="0" tint="-0.499984740745262"/>
      </left>
      <right/>
      <top style="thin">
        <color theme="0" tint="-0.499984740745262"/>
      </top>
      <bottom style="thin">
        <color theme="0" tint="-0.499984740745262"/>
      </bottom>
      <diagonal/>
    </border>
    <border>
      <left style="thin">
        <color theme="0" tint="-0.499984740745262"/>
      </left>
      <right style="hair">
        <color theme="0" tint="-0.499984740745262"/>
      </right>
      <top/>
      <bottom style="thin">
        <color theme="0" tint="-0.499984740745262"/>
      </bottom>
      <diagonal/>
    </border>
    <border>
      <left style="hair">
        <color theme="0" tint="-0.499984740745262"/>
      </left>
      <right style="hair">
        <color theme="0" tint="-0.499984740745262"/>
      </right>
      <top style="hair">
        <color theme="0" tint="-0.499984740745262"/>
      </top>
      <bottom style="thin">
        <color theme="0" tint="-0.499984740745262"/>
      </bottom>
      <diagonal/>
    </border>
    <border>
      <left style="thin">
        <color theme="0" tint="-0.499984740745262"/>
      </left>
      <right style="hair">
        <color theme="0" tint="-0.499984740745262"/>
      </right>
      <top style="thin">
        <color theme="0" tint="-0.499984740745262"/>
      </top>
      <bottom style="hair">
        <color theme="0" tint="-0.499984740745262"/>
      </bottom>
      <diagonal/>
    </border>
    <border>
      <left style="hair">
        <color theme="0" tint="-0.499984740745262"/>
      </left>
      <right style="hair">
        <color theme="0" tint="-0.499984740745262"/>
      </right>
      <top style="thin">
        <color theme="0" tint="-0.499984740745262"/>
      </top>
      <bottom style="hair">
        <color theme="0" tint="-0.499984740745262"/>
      </bottom>
      <diagonal/>
    </border>
    <border>
      <left style="thin">
        <color theme="0" tint="-0.499984740745262"/>
      </left>
      <right style="hair">
        <color theme="0" tint="-0.499984740745262"/>
      </right>
      <top style="hair">
        <color theme="0" tint="-0.499984740745262"/>
      </top>
      <bottom style="thin">
        <color theme="0" tint="-0.499984740745262"/>
      </bottom>
      <diagonal/>
    </border>
    <border>
      <left style="thin">
        <color theme="0" tint="-0.499984740745262"/>
      </left>
      <right style="hair">
        <color theme="0" tint="-0.499984740745262"/>
      </right>
      <top style="hair">
        <color theme="0" tint="-0.499984740745262"/>
      </top>
      <bottom/>
      <diagonal/>
    </border>
    <border>
      <left style="hair">
        <color theme="0" tint="-0.499984740745262"/>
      </left>
      <right style="hair">
        <color theme="0" tint="-0.499984740745262"/>
      </right>
      <top style="hair">
        <color theme="0" tint="-0.499984740745262"/>
      </top>
      <bottom/>
      <diagonal/>
    </border>
    <border>
      <left style="hair">
        <color theme="0" tint="-0.499984740745262"/>
      </left>
      <right style="thin">
        <color theme="0" tint="-0.499984740745262"/>
      </right>
      <top style="hair">
        <color theme="0" tint="-0.499984740745262"/>
      </top>
      <bottom/>
      <diagonal/>
    </border>
    <border>
      <left style="thin">
        <color theme="0" tint="-0.499984740745262"/>
      </left>
      <right style="hair">
        <color theme="0" tint="-0.499984740745262"/>
      </right>
      <top/>
      <bottom/>
      <diagonal/>
    </border>
    <border>
      <left style="hair">
        <color theme="0" tint="-0.499984740745262"/>
      </left>
      <right style="hair">
        <color theme="0" tint="-0.499984740745262"/>
      </right>
      <top/>
      <bottom/>
      <diagonal/>
    </border>
    <border>
      <left style="hair">
        <color theme="0" tint="-0.499984740745262"/>
      </left>
      <right style="thin">
        <color theme="0" tint="-0.499984740745262"/>
      </right>
      <top/>
      <bottom/>
      <diagonal/>
    </border>
    <border>
      <left style="hair">
        <color theme="0" tint="-0.499984740745262"/>
      </left>
      <right style="hair">
        <color theme="0" tint="-0.499984740745262"/>
      </right>
      <top/>
      <bottom style="thin">
        <color theme="0" tint="-0.499984740745262"/>
      </bottom>
      <diagonal/>
    </border>
    <border>
      <left style="hair">
        <color theme="0" tint="-0.499984740745262"/>
      </left>
      <right style="thin">
        <color theme="0" tint="-0.499984740745262"/>
      </right>
      <top/>
      <bottom style="thin">
        <color theme="0" tint="-0.499984740745262"/>
      </bottom>
      <diagonal/>
    </border>
    <border>
      <left/>
      <right style="thin">
        <color indexed="23"/>
      </right>
      <top style="thin">
        <color indexed="23"/>
      </top>
      <bottom style="hair">
        <color indexed="23"/>
      </bottom>
      <diagonal/>
    </border>
    <border>
      <left/>
      <right style="thin">
        <color indexed="23"/>
      </right>
      <top style="hair">
        <color indexed="23"/>
      </top>
      <bottom style="hair">
        <color indexed="23"/>
      </bottom>
      <diagonal/>
    </border>
    <border>
      <left/>
      <right style="thin">
        <color indexed="23"/>
      </right>
      <top style="hair">
        <color indexed="23"/>
      </top>
      <bottom style="thin">
        <color indexed="23"/>
      </bottom>
      <diagonal/>
    </border>
    <border>
      <left style="hair">
        <color indexed="23"/>
      </left>
      <right style="thin">
        <color indexed="23"/>
      </right>
      <top style="thin">
        <color indexed="23"/>
      </top>
      <bottom style="hair">
        <color indexed="23"/>
      </bottom>
      <diagonal/>
    </border>
    <border>
      <left style="hair">
        <color indexed="23"/>
      </left>
      <right style="thin">
        <color indexed="23"/>
      </right>
      <top style="hair">
        <color indexed="23"/>
      </top>
      <bottom style="hair">
        <color indexed="23"/>
      </bottom>
      <diagonal/>
    </border>
    <border>
      <left style="hair">
        <color indexed="23"/>
      </left>
      <right style="thin">
        <color indexed="23"/>
      </right>
      <top style="hair">
        <color indexed="23"/>
      </top>
      <bottom style="thin">
        <color indexed="23"/>
      </bottom>
      <diagonal/>
    </border>
    <border>
      <left style="thin">
        <color theme="0" tint="-0.499984740745262"/>
      </left>
      <right style="thin">
        <color theme="0" tint="-0.499984740745262"/>
      </right>
      <top style="thin">
        <color theme="0" tint="-0.499984740745262"/>
      </top>
      <bottom style="hair">
        <color theme="0" tint="-0.499984740745262"/>
      </bottom>
      <diagonal/>
    </border>
    <border>
      <left style="thin">
        <color theme="0" tint="-0.499984740745262"/>
      </left>
      <right style="thin">
        <color theme="0" tint="-0.499984740745262"/>
      </right>
      <top style="hair">
        <color theme="0" tint="-0.499984740745262"/>
      </top>
      <bottom style="thin">
        <color theme="0" tint="-0.499984740745262"/>
      </bottom>
      <diagonal/>
    </border>
    <border>
      <left style="thin">
        <color theme="0" tint="-0.499984740745262"/>
      </left>
      <right/>
      <top/>
      <bottom style="hair">
        <color theme="0" tint="-0.499984740745262"/>
      </bottom>
      <diagonal/>
    </border>
    <border>
      <left/>
      <right/>
      <top/>
      <bottom style="hair">
        <color theme="0" tint="-0.499984740745262"/>
      </bottom>
      <diagonal/>
    </border>
    <border>
      <left/>
      <right style="thin">
        <color theme="0" tint="-0.499984740745262"/>
      </right>
      <top/>
      <bottom style="hair">
        <color theme="0" tint="-0.499984740745262"/>
      </bottom>
      <diagonal/>
    </border>
    <border>
      <left style="thin">
        <color indexed="23"/>
      </left>
      <right style="hair">
        <color indexed="23"/>
      </right>
      <top style="thin">
        <color indexed="23"/>
      </top>
      <bottom style="hair">
        <color indexed="23"/>
      </bottom>
      <diagonal/>
    </border>
    <border>
      <left style="hair">
        <color indexed="23"/>
      </left>
      <right style="hair">
        <color indexed="23"/>
      </right>
      <top style="thin">
        <color indexed="23"/>
      </top>
      <bottom style="hair">
        <color indexed="23"/>
      </bottom>
      <diagonal/>
    </border>
    <border>
      <left style="thin">
        <color indexed="23"/>
      </left>
      <right style="hair">
        <color indexed="23"/>
      </right>
      <top style="hair">
        <color indexed="23"/>
      </top>
      <bottom style="hair">
        <color indexed="23"/>
      </bottom>
      <diagonal/>
    </border>
    <border>
      <left style="hair">
        <color indexed="23"/>
      </left>
      <right style="hair">
        <color indexed="23"/>
      </right>
      <top style="hair">
        <color indexed="23"/>
      </top>
      <bottom style="hair">
        <color indexed="23"/>
      </bottom>
      <diagonal/>
    </border>
    <border>
      <left style="thin">
        <color indexed="23"/>
      </left>
      <right style="hair">
        <color indexed="23"/>
      </right>
      <top style="hair">
        <color indexed="23"/>
      </top>
      <bottom style="thin">
        <color indexed="23"/>
      </bottom>
      <diagonal/>
    </border>
    <border>
      <left style="hair">
        <color indexed="23"/>
      </left>
      <right style="hair">
        <color indexed="23"/>
      </right>
      <top style="hair">
        <color indexed="23"/>
      </top>
      <bottom style="thin">
        <color indexed="23"/>
      </bottom>
      <diagonal/>
    </border>
    <border>
      <left style="thin">
        <color indexed="23"/>
      </left>
      <right style="thin">
        <color indexed="23"/>
      </right>
      <top style="thin">
        <color indexed="23"/>
      </top>
      <bottom/>
      <diagonal/>
    </border>
    <border>
      <left style="thin">
        <color indexed="23"/>
      </left>
      <right style="thin">
        <color indexed="23"/>
      </right>
      <top/>
      <bottom style="thin">
        <color indexed="23"/>
      </bottom>
      <diagonal/>
    </border>
    <border>
      <left/>
      <right style="medium">
        <color indexed="64"/>
      </right>
      <top style="thin">
        <color theme="0" tint="-0.499984740745262"/>
      </top>
      <bottom/>
      <diagonal/>
    </border>
    <border>
      <left style="double">
        <color indexed="64"/>
      </left>
      <right/>
      <top/>
      <bottom style="medium">
        <color indexed="64"/>
      </bottom>
      <diagonal/>
    </border>
    <border>
      <left style="thin">
        <color indexed="64"/>
      </left>
      <right style="thin">
        <color indexed="64"/>
      </right>
      <top style="thin">
        <color indexed="64"/>
      </top>
      <bottom style="medium">
        <color indexed="64"/>
      </bottom>
      <diagonal/>
    </border>
    <border>
      <left style="thin">
        <color theme="0" tint="-0.34998626667073579"/>
      </left>
      <right style="thin">
        <color theme="0" tint="-0.34998626667073579"/>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499984740745262"/>
      </left>
      <right/>
      <top style="thin">
        <color theme="0" tint="-0.34998626667073579"/>
      </top>
      <bottom style="thin">
        <color theme="0" tint="-0.34998626667073579"/>
      </bottom>
      <diagonal/>
    </border>
    <border>
      <left/>
      <right style="thin">
        <color theme="0" tint="-0.499984740745262"/>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medium">
        <color theme="1" tint="0.499984740745262"/>
      </left>
      <right/>
      <top style="medium">
        <color theme="1" tint="0.499984740745262"/>
      </top>
      <bottom style="medium">
        <color theme="1" tint="0.499984740745262"/>
      </bottom>
      <diagonal/>
    </border>
    <border>
      <left/>
      <right/>
      <top style="medium">
        <color theme="1" tint="0.499984740745262"/>
      </top>
      <bottom style="medium">
        <color theme="1" tint="0.499984740745262"/>
      </bottom>
      <diagonal/>
    </border>
    <border>
      <left style="thin">
        <color theme="0" tint="-0.499984740745262"/>
      </left>
      <right/>
      <top style="medium">
        <color theme="1" tint="0.499984740745262"/>
      </top>
      <bottom style="medium">
        <color theme="1" tint="0.499984740745262"/>
      </bottom>
      <diagonal/>
    </border>
    <border>
      <left/>
      <right style="thin">
        <color theme="0" tint="-0.499984740745262"/>
      </right>
      <top style="medium">
        <color theme="1" tint="0.499984740745262"/>
      </top>
      <bottom style="medium">
        <color theme="1" tint="0.499984740745262"/>
      </bottom>
      <diagonal/>
    </border>
    <border>
      <left/>
      <right style="medium">
        <color theme="1" tint="0.499984740745262"/>
      </right>
      <top style="medium">
        <color theme="1" tint="0.499984740745262"/>
      </top>
      <bottom style="medium">
        <color theme="1" tint="0.499984740745262"/>
      </bottom>
      <diagonal/>
    </border>
    <border>
      <left style="medium">
        <color theme="0" tint="-0.499984740745262"/>
      </left>
      <right style="thin">
        <color theme="0" tint="-0.499984740745262"/>
      </right>
      <top style="medium">
        <color theme="0" tint="-0.499984740745262"/>
      </top>
      <bottom style="thin">
        <color theme="0" tint="-0.499984740745262"/>
      </bottom>
      <diagonal/>
    </border>
    <border>
      <left style="thin">
        <color theme="0" tint="-0.499984740745262"/>
      </left>
      <right style="thin">
        <color theme="0" tint="-0.499984740745262"/>
      </right>
      <top style="medium">
        <color theme="0" tint="-0.499984740745262"/>
      </top>
      <bottom style="thin">
        <color theme="0" tint="-0.499984740745262"/>
      </bottom>
      <diagonal/>
    </border>
    <border>
      <left style="thin">
        <color theme="0" tint="-0.499984740745262"/>
      </left>
      <right style="medium">
        <color theme="0" tint="-0.499984740745262"/>
      </right>
      <top style="medium">
        <color theme="0" tint="-0.499984740745262"/>
      </top>
      <bottom style="thin">
        <color theme="0" tint="-0.499984740745262"/>
      </bottom>
      <diagonal/>
    </border>
    <border>
      <left style="medium">
        <color theme="0" tint="-0.499984740745262"/>
      </left>
      <right/>
      <top/>
      <bottom/>
      <diagonal/>
    </border>
    <border>
      <left style="medium">
        <color theme="0" tint="-0.499984740745262"/>
      </left>
      <right/>
      <top/>
      <bottom style="medium">
        <color theme="0" tint="-0.499984740745262"/>
      </bottom>
      <diagonal/>
    </border>
    <border>
      <left style="medium">
        <color theme="0" tint="-0.499984740745262"/>
      </left>
      <right style="thin">
        <color theme="0" tint="-0.499984740745262"/>
      </right>
      <top style="medium">
        <color theme="0" tint="-0.499984740745262"/>
      </top>
      <bottom style="medium">
        <color theme="0" tint="-0.499984740745262"/>
      </bottom>
      <diagonal/>
    </border>
    <border>
      <left style="thin">
        <color theme="0" tint="-0.499984740745262"/>
      </left>
      <right style="thin">
        <color theme="0" tint="-0.499984740745262"/>
      </right>
      <top style="medium">
        <color theme="0" tint="-0.499984740745262"/>
      </top>
      <bottom style="medium">
        <color theme="0" tint="-0.499984740745262"/>
      </bottom>
      <diagonal/>
    </border>
    <border>
      <left style="thin">
        <color theme="0" tint="-0.499984740745262"/>
      </left>
      <right style="medium">
        <color theme="0" tint="-0.499984740745262"/>
      </right>
      <top style="medium">
        <color theme="0" tint="-0.499984740745262"/>
      </top>
      <bottom style="medium">
        <color theme="0" tint="-0.499984740745262"/>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medium">
        <color indexed="64"/>
      </top>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ck">
        <color indexed="64"/>
      </bottom>
      <diagonal/>
    </border>
    <border>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ck">
        <color indexed="64"/>
      </right>
      <top/>
      <bottom style="thin">
        <color indexed="64"/>
      </bottom>
      <diagonal/>
    </border>
    <border>
      <left style="thin">
        <color indexed="64"/>
      </left>
      <right style="thick">
        <color indexed="64"/>
      </right>
      <top style="thin">
        <color indexed="64"/>
      </top>
      <bottom style="thin">
        <color indexed="64"/>
      </bottom>
      <diagonal/>
    </border>
  </borders>
  <cellStyleXfs count="8">
    <xf numFmtId="0" fontId="0" fillId="0" borderId="0"/>
    <xf numFmtId="9" fontId="1" fillId="0" borderId="0" applyFont="0" applyFill="0" applyBorder="0" applyAlignment="0" applyProtection="0"/>
    <xf numFmtId="43" fontId="1" fillId="0" borderId="0" applyFont="0" applyFill="0" applyBorder="0" applyAlignment="0" applyProtection="0"/>
    <xf numFmtId="166" fontId="1"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4" fontId="1" fillId="0" borderId="0" applyFont="0" applyFill="0" applyBorder="0" applyAlignment="0" applyProtection="0"/>
  </cellStyleXfs>
  <cellXfs count="2043">
    <xf numFmtId="0" fontId="0" fillId="0" borderId="0" xfId="0"/>
    <xf numFmtId="165" fontId="5" fillId="0" borderId="11" xfId="2" applyNumberFormat="1" applyFont="1" applyBorder="1"/>
    <xf numFmtId="0" fontId="0" fillId="0" borderId="2" xfId="0" applyBorder="1"/>
    <xf numFmtId="4" fontId="0" fillId="0" borderId="0" xfId="0" applyNumberFormat="1"/>
    <xf numFmtId="0" fontId="2" fillId="0" borderId="11" xfId="0" applyFont="1" applyBorder="1" applyAlignment="1">
      <alignment horizontal="center"/>
    </xf>
    <xf numFmtId="4" fontId="0" fillId="0" borderId="13" xfId="0" applyNumberFormat="1" applyBorder="1"/>
    <xf numFmtId="3" fontId="0" fillId="0" borderId="13" xfId="0" applyNumberFormat="1" applyBorder="1"/>
    <xf numFmtId="9" fontId="0" fillId="0" borderId="2" xfId="1" applyFont="1" applyBorder="1"/>
    <xf numFmtId="165" fontId="3" fillId="0" borderId="0" xfId="4" applyNumberFormat="1" applyFont="1"/>
    <xf numFmtId="165" fontId="3" fillId="0" borderId="0" xfId="2" applyNumberFormat="1" applyFont="1"/>
    <xf numFmtId="165" fontId="3" fillId="0" borderId="3" xfId="2" applyNumberFormat="1" applyFont="1" applyBorder="1"/>
    <xf numFmtId="165" fontId="3" fillId="0" borderId="8" xfId="2" applyNumberFormat="1" applyFont="1" applyBorder="1"/>
    <xf numFmtId="0" fontId="8" fillId="0" borderId="0" xfId="0" applyFont="1"/>
    <xf numFmtId="0" fontId="8" fillId="0" borderId="0" xfId="0" applyFont="1" applyAlignment="1">
      <alignment horizontal="center"/>
    </xf>
    <xf numFmtId="165" fontId="8" fillId="0" borderId="0" xfId="2" applyNumberFormat="1" applyFont="1" applyAlignment="1">
      <alignment vertical="center"/>
    </xf>
    <xf numFmtId="165" fontId="8" fillId="0" borderId="8" xfId="2" applyNumberFormat="1" applyFont="1" applyBorder="1" applyAlignment="1">
      <alignment vertical="center"/>
    </xf>
    <xf numFmtId="165" fontId="8" fillId="0" borderId="3" xfId="2" applyNumberFormat="1" applyFont="1" applyBorder="1" applyAlignment="1">
      <alignment vertical="center"/>
    </xf>
    <xf numFmtId="165" fontId="8" fillId="0" borderId="1" xfId="2" applyNumberFormat="1" applyFont="1" applyBorder="1" applyAlignment="1">
      <alignment vertical="center"/>
    </xf>
    <xf numFmtId="0" fontId="8" fillId="0" borderId="0" xfId="0" applyFont="1" applyAlignment="1">
      <alignment horizontal="left"/>
    </xf>
    <xf numFmtId="165" fontId="0" fillId="0" borderId="0" xfId="2" applyNumberFormat="1" applyFont="1"/>
    <xf numFmtId="0" fontId="2" fillId="2" borderId="4" xfId="0" applyFont="1" applyFill="1" applyBorder="1" applyAlignment="1">
      <alignment horizontal="center" vertical="center"/>
    </xf>
    <xf numFmtId="0" fontId="0" fillId="0" borderId="3" xfId="0" applyBorder="1"/>
    <xf numFmtId="165" fontId="3" fillId="0" borderId="12" xfId="2" applyNumberFormat="1" applyFont="1" applyBorder="1"/>
    <xf numFmtId="0" fontId="3" fillId="0" borderId="13" xfId="4" applyFont="1" applyBorder="1"/>
    <xf numFmtId="0" fontId="14" fillId="0" borderId="0" xfId="4" applyFont="1" applyAlignment="1">
      <alignment horizontal="center"/>
    </xf>
    <xf numFmtId="0" fontId="14" fillId="0" borderId="12" xfId="4" applyFont="1" applyBorder="1" applyAlignment="1">
      <alignment horizontal="center"/>
    </xf>
    <xf numFmtId="0" fontId="11" fillId="2" borderId="1" xfId="4" applyFont="1" applyFill="1" applyBorder="1" applyAlignment="1">
      <alignment horizontal="center"/>
    </xf>
    <xf numFmtId="0" fontId="11" fillId="2" borderId="5" xfId="4" applyFont="1" applyFill="1" applyBorder="1" applyAlignment="1">
      <alignment horizontal="center"/>
    </xf>
    <xf numFmtId="10" fontId="8" fillId="0" borderId="0" xfId="1" applyNumberFormat="1" applyFont="1" applyAlignment="1">
      <alignment vertical="center"/>
    </xf>
    <xf numFmtId="165" fontId="7" fillId="2" borderId="0" xfId="2" applyNumberFormat="1" applyFont="1" applyFill="1" applyAlignment="1">
      <alignment vertical="center"/>
    </xf>
    <xf numFmtId="165" fontId="7" fillId="0" borderId="0" xfId="2" applyNumberFormat="1" applyFont="1" applyAlignment="1">
      <alignment vertical="center"/>
    </xf>
    <xf numFmtId="165" fontId="8" fillId="0" borderId="7" xfId="2" applyNumberFormat="1" applyFont="1" applyBorder="1" applyAlignment="1">
      <alignment vertical="center"/>
    </xf>
    <xf numFmtId="165" fontId="8" fillId="0" borderId="15" xfId="2" applyNumberFormat="1" applyFont="1" applyBorder="1" applyAlignment="1">
      <alignment vertical="center"/>
    </xf>
    <xf numFmtId="165" fontId="8" fillId="6" borderId="3" xfId="2" applyNumberFormat="1" applyFont="1" applyFill="1" applyBorder="1" applyAlignment="1">
      <alignment vertical="center"/>
    </xf>
    <xf numFmtId="172" fontId="8" fillId="0" borderId="3" xfId="2" applyNumberFormat="1" applyFont="1" applyBorder="1" applyAlignment="1">
      <alignment vertical="center"/>
    </xf>
    <xf numFmtId="165" fontId="8" fillId="0" borderId="5" xfId="2" applyNumberFormat="1" applyFont="1" applyBorder="1" applyAlignment="1">
      <alignment vertical="center"/>
    </xf>
    <xf numFmtId="165" fontId="7" fillId="12" borderId="1" xfId="2" applyNumberFormat="1" applyFont="1" applyFill="1" applyBorder="1" applyAlignment="1">
      <alignment vertical="center"/>
    </xf>
    <xf numFmtId="165" fontId="7" fillId="5" borderId="1" xfId="2" applyNumberFormat="1" applyFont="1" applyFill="1" applyBorder="1" applyAlignment="1">
      <alignment vertical="center"/>
    </xf>
    <xf numFmtId="165" fontId="8" fillId="0" borderId="10" xfId="2" applyNumberFormat="1" applyFont="1" applyBorder="1" applyAlignment="1">
      <alignment vertical="center"/>
    </xf>
    <xf numFmtId="0" fontId="8" fillId="0" borderId="11" xfId="0" applyFont="1" applyBorder="1"/>
    <xf numFmtId="0" fontId="8" fillId="0" borderId="6" xfId="0" applyFont="1" applyBorder="1"/>
    <xf numFmtId="0" fontId="7" fillId="2" borderId="4" xfId="0" applyFont="1" applyFill="1" applyBorder="1"/>
    <xf numFmtId="0" fontId="7" fillId="2" borderId="2" xfId="0" applyFont="1" applyFill="1" applyBorder="1"/>
    <xf numFmtId="165" fontId="8" fillId="6" borderId="1" xfId="2" applyNumberFormat="1" applyFont="1" applyFill="1" applyBorder="1" applyAlignment="1">
      <alignment vertical="center"/>
    </xf>
    <xf numFmtId="172" fontId="8" fillId="0" borderId="1" xfId="2" applyNumberFormat="1" applyFont="1" applyBorder="1" applyAlignment="1">
      <alignment vertical="center"/>
    </xf>
    <xf numFmtId="165" fontId="8" fillId="0" borderId="2" xfId="2" applyNumberFormat="1" applyFont="1" applyBorder="1" applyAlignment="1">
      <alignment vertical="center"/>
    </xf>
    <xf numFmtId="165" fontId="8" fillId="6" borderId="2" xfId="2" applyNumberFormat="1" applyFont="1" applyFill="1" applyBorder="1" applyAlignment="1">
      <alignment vertical="center"/>
    </xf>
    <xf numFmtId="10" fontId="8" fillId="0" borderId="13" xfId="1" applyNumberFormat="1" applyFont="1" applyBorder="1"/>
    <xf numFmtId="10" fontId="8" fillId="0" borderId="15" xfId="1" applyNumberFormat="1" applyFont="1" applyBorder="1"/>
    <xf numFmtId="165" fontId="8" fillId="6" borderId="8" xfId="2" applyNumberFormat="1" applyFont="1" applyFill="1" applyBorder="1" applyAlignment="1">
      <alignment vertical="center"/>
    </xf>
    <xf numFmtId="172" fontId="8" fillId="0" borderId="8" xfId="2" applyNumberFormat="1" applyFont="1" applyBorder="1" applyAlignment="1">
      <alignment vertical="center"/>
    </xf>
    <xf numFmtId="165" fontId="8" fillId="0" borderId="14" xfId="2" applyNumberFormat="1" applyFont="1" applyBorder="1" applyAlignment="1">
      <alignment vertical="center"/>
    </xf>
    <xf numFmtId="10" fontId="8" fillId="8" borderId="1" xfId="1" applyNumberFormat="1" applyFont="1" applyFill="1" applyBorder="1" applyAlignment="1">
      <alignment vertical="center"/>
    </xf>
    <xf numFmtId="165" fontId="8" fillId="8" borderId="1" xfId="2" applyNumberFormat="1" applyFont="1" applyFill="1" applyBorder="1" applyAlignment="1">
      <alignment vertical="center"/>
    </xf>
    <xf numFmtId="172" fontId="8" fillId="8" borderId="1" xfId="2" applyNumberFormat="1" applyFont="1" applyFill="1" applyBorder="1" applyAlignment="1">
      <alignment vertical="center"/>
    </xf>
    <xf numFmtId="165" fontId="7" fillId="12" borderId="5" xfId="2" applyNumberFormat="1" applyFont="1" applyFill="1" applyBorder="1" applyAlignment="1">
      <alignment vertical="center"/>
    </xf>
    <xf numFmtId="14" fontId="0" fillId="8" borderId="0" xfId="0" applyNumberFormat="1" applyFill="1" applyAlignment="1">
      <alignment horizontal="center" vertical="center" wrapText="1"/>
    </xf>
    <xf numFmtId="2" fontId="0" fillId="8" borderId="0" xfId="0" applyNumberFormat="1" applyFill="1" applyAlignment="1">
      <alignment horizontal="center" vertical="center" wrapText="1"/>
    </xf>
    <xf numFmtId="0" fontId="8" fillId="12" borderId="1" xfId="0" applyFont="1" applyFill="1" applyBorder="1"/>
    <xf numFmtId="167" fontId="0" fillId="8" borderId="0" xfId="0" applyNumberFormat="1" applyFill="1" applyAlignment="1">
      <alignment horizontal="center" vertical="center"/>
    </xf>
    <xf numFmtId="0" fontId="15" fillId="0" borderId="0" xfId="0" applyFont="1"/>
    <xf numFmtId="165" fontId="3" fillId="0" borderId="3" xfId="4" applyNumberFormat="1" applyFont="1" applyBorder="1"/>
    <xf numFmtId="165" fontId="3" fillId="0" borderId="12" xfId="4" applyNumberFormat="1" applyFont="1" applyBorder="1"/>
    <xf numFmtId="165" fontId="3" fillId="0" borderId="11" xfId="4" applyNumberFormat="1" applyFont="1" applyBorder="1"/>
    <xf numFmtId="0" fontId="3" fillId="0" borderId="15" xfId="4" applyFont="1" applyBorder="1"/>
    <xf numFmtId="165" fontId="3" fillId="0" borderId="7" xfId="4" applyNumberFormat="1" applyFont="1" applyBorder="1"/>
    <xf numFmtId="0" fontId="11" fillId="2" borderId="2" xfId="4" applyFont="1" applyFill="1" applyBorder="1"/>
    <xf numFmtId="0" fontId="4" fillId="2" borderId="2" xfId="0" applyFont="1" applyFill="1" applyBorder="1"/>
    <xf numFmtId="3" fontId="0" fillId="0" borderId="0" xfId="0" applyNumberFormat="1"/>
    <xf numFmtId="3" fontId="16" fillId="0" borderId="13" xfId="0" applyNumberFormat="1" applyFont="1" applyBorder="1"/>
    <xf numFmtId="3" fontId="0" fillId="0" borderId="13" xfId="0" applyNumberFormat="1" applyBorder="1" applyAlignment="1">
      <alignment horizontal="right" wrapText="1"/>
    </xf>
    <xf numFmtId="3" fontId="0" fillId="0" borderId="13" xfId="0" applyNumberFormat="1" applyBorder="1" applyAlignment="1">
      <alignment horizontal="right"/>
    </xf>
    <xf numFmtId="3" fontId="5" fillId="0" borderId="13" xfId="0" applyNumberFormat="1" applyFont="1" applyBorder="1" applyAlignment="1">
      <alignment horizontal="right"/>
    </xf>
    <xf numFmtId="0" fontId="0" fillId="0" borderId="0" xfId="0" applyAlignment="1">
      <alignment horizontal="center"/>
    </xf>
    <xf numFmtId="165" fontId="3" fillId="0" borderId="10" xfId="2" applyNumberFormat="1" applyFont="1" applyBorder="1"/>
    <xf numFmtId="0" fontId="2" fillId="2" borderId="15" xfId="0" applyFont="1" applyFill="1" applyBorder="1" applyAlignment="1">
      <alignment horizontal="center" vertical="center"/>
    </xf>
    <xf numFmtId="0" fontId="2" fillId="2" borderId="2" xfId="0" applyFont="1" applyFill="1" applyBorder="1" applyAlignment="1">
      <alignment horizontal="center" vertical="center"/>
    </xf>
    <xf numFmtId="17" fontId="0" fillId="0" borderId="14" xfId="0" applyNumberFormat="1" applyBorder="1" applyAlignment="1">
      <alignment horizontal="center" vertical="center"/>
    </xf>
    <xf numFmtId="17" fontId="0" fillId="0" borderId="13" xfId="0" applyNumberFormat="1" applyBorder="1" applyAlignment="1">
      <alignment horizontal="center" vertical="center"/>
    </xf>
    <xf numFmtId="4" fontId="0" fillId="0" borderId="13" xfId="0" applyNumberFormat="1" applyBorder="1" applyAlignment="1">
      <alignment horizontal="right" vertical="center" wrapText="1"/>
    </xf>
    <xf numFmtId="4" fontId="0" fillId="0" borderId="13" xfId="0" applyNumberFormat="1" applyBorder="1" applyAlignment="1">
      <alignment horizontal="right" vertical="center"/>
    </xf>
    <xf numFmtId="4" fontId="5" fillId="0" borderId="13" xfId="0" applyNumberFormat="1" applyFont="1" applyBorder="1" applyAlignment="1">
      <alignment horizontal="right" vertical="center"/>
    </xf>
    <xf numFmtId="4" fontId="0" fillId="0" borderId="14" xfId="0" applyNumberFormat="1" applyBorder="1" applyAlignment="1">
      <alignment horizontal="right" vertical="center"/>
    </xf>
    <xf numFmtId="17" fontId="0" fillId="0" borderId="15" xfId="0" applyNumberFormat="1" applyBorder="1" applyAlignment="1">
      <alignment horizontal="center" vertical="center"/>
    </xf>
    <xf numFmtId="4" fontId="0" fillId="0" borderId="15" xfId="0" applyNumberFormat="1" applyBorder="1" applyAlignment="1">
      <alignment horizontal="right" vertical="center"/>
    </xf>
    <xf numFmtId="2" fontId="1" fillId="0" borderId="0" xfId="2" applyNumberFormat="1" applyAlignment="1">
      <alignment horizontal="center" vertical="center"/>
    </xf>
    <xf numFmtId="4" fontId="1" fillId="0" borderId="0" xfId="2" applyNumberFormat="1" applyAlignment="1">
      <alignment horizontal="center" vertical="center"/>
    </xf>
    <xf numFmtId="0" fontId="2" fillId="2" borderId="5" xfId="0" applyFont="1" applyFill="1" applyBorder="1" applyAlignment="1">
      <alignment horizontal="left" vertical="center"/>
    </xf>
    <xf numFmtId="2" fontId="0" fillId="0" borderId="0" xfId="0" applyNumberFormat="1" applyAlignment="1">
      <alignment horizontal="right" vertical="center"/>
    </xf>
    <xf numFmtId="2" fontId="0" fillId="0" borderId="14" xfId="0" applyNumberFormat="1" applyBorder="1" applyAlignment="1">
      <alignment horizontal="right" vertical="center"/>
    </xf>
    <xf numFmtId="2" fontId="2" fillId="0" borderId="14" xfId="2" applyNumberFormat="1" applyFont="1" applyBorder="1" applyAlignment="1">
      <alignment horizontal="right" vertical="center"/>
    </xf>
    <xf numFmtId="43" fontId="0" fillId="0" borderId="0" xfId="2" applyFont="1" applyAlignment="1">
      <alignment horizontal="right" vertical="center"/>
    </xf>
    <xf numFmtId="43" fontId="0" fillId="0" borderId="13" xfId="2" applyFont="1" applyBorder="1" applyAlignment="1">
      <alignment horizontal="right" vertical="center"/>
    </xf>
    <xf numFmtId="43" fontId="16" fillId="0" borderId="13" xfId="2" applyFont="1" applyBorder="1" applyAlignment="1">
      <alignment horizontal="right" vertical="center"/>
    </xf>
    <xf numFmtId="4" fontId="2" fillId="2" borderId="2" xfId="0" applyNumberFormat="1" applyFont="1" applyFill="1" applyBorder="1" applyAlignment="1">
      <alignment horizontal="right" vertical="center"/>
    </xf>
    <xf numFmtId="4" fontId="0" fillId="0" borderId="0" xfId="0" applyNumberFormat="1" applyAlignment="1">
      <alignment horizontal="right" vertical="center"/>
    </xf>
    <xf numFmtId="3" fontId="2" fillId="2" borderId="2" xfId="0" applyNumberFormat="1" applyFont="1" applyFill="1" applyBorder="1" applyAlignment="1">
      <alignment horizontal="right" vertical="center"/>
    </xf>
    <xf numFmtId="0" fontId="0" fillId="0" borderId="0" xfId="0" applyAlignment="1">
      <alignment horizontal="right"/>
    </xf>
    <xf numFmtId="4" fontId="2" fillId="2" borderId="5" xfId="0" applyNumberFormat="1" applyFont="1" applyFill="1" applyBorder="1" applyAlignment="1">
      <alignment horizontal="right" vertical="center"/>
    </xf>
    <xf numFmtId="0" fontId="2" fillId="0" borderId="0" xfId="0" applyFont="1" applyAlignment="1">
      <alignment horizontal="left" vertical="center"/>
    </xf>
    <xf numFmtId="0" fontId="2" fillId="0" borderId="11" xfId="0" applyFont="1" applyBorder="1" applyAlignment="1">
      <alignment horizontal="center" vertical="center"/>
    </xf>
    <xf numFmtId="4" fontId="2" fillId="0" borderId="0" xfId="0" applyNumberFormat="1" applyFont="1" applyAlignment="1">
      <alignment vertical="center"/>
    </xf>
    <xf numFmtId="3" fontId="2" fillId="0" borderId="0" xfId="0" applyNumberFormat="1" applyFont="1" applyAlignment="1">
      <alignment vertical="center"/>
    </xf>
    <xf numFmtId="43" fontId="2" fillId="0" borderId="13" xfId="2" applyFont="1" applyBorder="1" applyAlignment="1">
      <alignment horizontal="center"/>
    </xf>
    <xf numFmtId="43" fontId="0" fillId="0" borderId="0" xfId="0" applyNumberFormat="1"/>
    <xf numFmtId="43" fontId="0" fillId="0" borderId="13" xfId="0" applyNumberFormat="1" applyBorder="1"/>
    <xf numFmtId="43" fontId="2" fillId="2" borderId="5" xfId="0" applyNumberFormat="1" applyFont="1" applyFill="1" applyBorder="1" applyAlignment="1">
      <alignment horizontal="right" vertical="center"/>
    </xf>
    <xf numFmtId="43" fontId="2" fillId="2" borderId="2" xfId="0" applyNumberFormat="1" applyFont="1" applyFill="1" applyBorder="1" applyAlignment="1">
      <alignment horizontal="right" vertical="center"/>
    </xf>
    <xf numFmtId="43" fontId="16" fillId="0" borderId="13" xfId="0" applyNumberFormat="1" applyFont="1" applyBorder="1"/>
    <xf numFmtId="43" fontId="0" fillId="0" borderId="13" xfId="0" applyNumberFormat="1" applyBorder="1" applyAlignment="1">
      <alignment horizontal="right" wrapText="1"/>
    </xf>
    <xf numFmtId="43" fontId="0" fillId="0" borderId="13" xfId="0" applyNumberFormat="1" applyBorder="1" applyAlignment="1">
      <alignment horizontal="right"/>
    </xf>
    <xf numFmtId="43" fontId="5" fillId="0" borderId="13" xfId="0" applyNumberFormat="1" applyFont="1" applyBorder="1" applyAlignment="1">
      <alignment horizontal="right"/>
    </xf>
    <xf numFmtId="43" fontId="0" fillId="0" borderId="13" xfId="0" applyNumberFormat="1" applyBorder="1" applyAlignment="1">
      <alignment horizontal="right" vertical="center"/>
    </xf>
    <xf numFmtId="43" fontId="0" fillId="0" borderId="15" xfId="0" applyNumberFormat="1" applyBorder="1" applyAlignment="1">
      <alignment horizontal="right" vertical="center"/>
    </xf>
    <xf numFmtId="43" fontId="0" fillId="0" borderId="14" xfId="0" applyNumberFormat="1" applyBorder="1" applyAlignment="1">
      <alignment horizontal="right" vertical="center"/>
    </xf>
    <xf numFmtId="0" fontId="2" fillId="2" borderId="1" xfId="0" applyFont="1" applyFill="1" applyBorder="1" applyAlignment="1">
      <alignment horizontal="left" vertical="center"/>
    </xf>
    <xf numFmtId="0" fontId="0" fillId="0" borderId="13" xfId="0" applyBorder="1" applyAlignment="1">
      <alignment horizontal="center" vertical="center"/>
    </xf>
    <xf numFmtId="165" fontId="3" fillId="0" borderId="9" xfId="2" applyNumberFormat="1" applyFont="1" applyBorder="1"/>
    <xf numFmtId="165" fontId="3" fillId="0" borderId="11" xfId="2" applyNumberFormat="1" applyFont="1" applyBorder="1"/>
    <xf numFmtId="165" fontId="3" fillId="0" borderId="6" xfId="2" applyNumberFormat="1" applyFont="1" applyBorder="1"/>
    <xf numFmtId="165" fontId="3" fillId="0" borderId="7" xfId="2" applyNumberFormat="1" applyFont="1" applyBorder="1"/>
    <xf numFmtId="0" fontId="3" fillId="0" borderId="11" xfId="4" applyFont="1" applyBorder="1"/>
    <xf numFmtId="0" fontId="3" fillId="0" borderId="14" xfId="4" applyFont="1" applyBorder="1"/>
    <xf numFmtId="0" fontId="17" fillId="0" borderId="14" xfId="4" applyFont="1" applyBorder="1"/>
    <xf numFmtId="0" fontId="17" fillId="0" borderId="13" xfId="4" applyFont="1" applyBorder="1"/>
    <xf numFmtId="0" fontId="17" fillId="0" borderId="15" xfId="4" applyFont="1" applyBorder="1"/>
    <xf numFmtId="0" fontId="18" fillId="0" borderId="9" xfId="4" applyFont="1" applyBorder="1"/>
    <xf numFmtId="0" fontId="18" fillId="0" borderId="11" xfId="4" applyFont="1" applyBorder="1"/>
    <xf numFmtId="0" fontId="18" fillId="0" borderId="6" xfId="4" applyFont="1" applyBorder="1"/>
    <xf numFmtId="0" fontId="2" fillId="2" borderId="2" xfId="0" applyFont="1" applyFill="1" applyBorder="1" applyAlignment="1">
      <alignment horizontal="center" vertical="center" wrapText="1"/>
    </xf>
    <xf numFmtId="0" fontId="0" fillId="0" borderId="2" xfId="0" applyBorder="1" applyAlignment="1">
      <alignment horizontal="left" vertical="center" wrapText="1"/>
    </xf>
    <xf numFmtId="170" fontId="0" fillId="0" borderId="2" xfId="0" applyNumberFormat="1" applyBorder="1" applyAlignment="1">
      <alignment vertical="center" wrapText="1"/>
    </xf>
    <xf numFmtId="0" fontId="0" fillId="0" borderId="2" xfId="2" applyNumberFormat="1" applyFont="1" applyBorder="1" applyAlignment="1">
      <alignment horizontal="center" vertical="center" wrapText="1"/>
    </xf>
    <xf numFmtId="9" fontId="0" fillId="0" borderId="2" xfId="1" applyFont="1" applyBorder="1" applyAlignment="1">
      <alignment vertical="center" wrapText="1"/>
    </xf>
    <xf numFmtId="0" fontId="0" fillId="0" borderId="2" xfId="0" applyBorder="1" applyAlignment="1">
      <alignment vertical="center" wrapText="1"/>
    </xf>
    <xf numFmtId="170" fontId="2" fillId="2" borderId="2" xfId="0" applyNumberFormat="1" applyFont="1" applyFill="1" applyBorder="1" applyAlignment="1">
      <alignment horizontal="center" vertical="center" wrapText="1"/>
    </xf>
    <xf numFmtId="0" fontId="2" fillId="2" borderId="2" xfId="2" applyNumberFormat="1" applyFont="1" applyFill="1" applyBorder="1" applyAlignment="1">
      <alignment horizontal="center" vertical="center" wrapText="1"/>
    </xf>
    <xf numFmtId="9" fontId="2" fillId="2" borderId="2" xfId="1" applyFont="1" applyFill="1" applyBorder="1" applyAlignment="1">
      <alignment vertical="center" wrapText="1"/>
    </xf>
    <xf numFmtId="0" fontId="2" fillId="2" borderId="4" xfId="0" applyFont="1" applyFill="1" applyBorder="1" applyAlignment="1">
      <alignment horizontal="right" vertical="center"/>
    </xf>
    <xf numFmtId="0" fontId="2" fillId="2" borderId="1" xfId="0" applyFont="1" applyFill="1" applyBorder="1" applyAlignment="1">
      <alignment horizontal="right" vertical="center"/>
    </xf>
    <xf numFmtId="0" fontId="19" fillId="0" borderId="0" xfId="0" applyFont="1"/>
    <xf numFmtId="0" fontId="4" fillId="2" borderId="2" xfId="0" applyFont="1" applyFill="1" applyBorder="1" applyAlignment="1">
      <alignment horizontal="center" vertical="center" wrapText="1"/>
    </xf>
    <xf numFmtId="165" fontId="0" fillId="0" borderId="13" xfId="2" applyNumberFormat="1" applyFont="1" applyBorder="1" applyAlignment="1">
      <alignment horizontal="right" vertical="center"/>
    </xf>
    <xf numFmtId="165" fontId="1" fillId="0" borderId="13" xfId="2" applyNumberFormat="1" applyBorder="1" applyAlignment="1">
      <alignment horizontal="right" vertical="center"/>
    </xf>
    <xf numFmtId="165" fontId="1" fillId="0" borderId="11" xfId="2" applyNumberFormat="1" applyBorder="1" applyAlignment="1">
      <alignment horizontal="right" vertical="center"/>
    </xf>
    <xf numFmtId="2" fontId="2" fillId="0" borderId="11" xfId="2" applyNumberFormat="1" applyFont="1" applyBorder="1" applyAlignment="1">
      <alignment horizontal="right" vertical="center"/>
    </xf>
    <xf numFmtId="2" fontId="2" fillId="0" borderId="0" xfId="2" applyNumberFormat="1" applyFont="1" applyAlignment="1">
      <alignment horizontal="right" vertical="center"/>
    </xf>
    <xf numFmtId="2" fontId="2" fillId="0" borderId="12" xfId="2" applyNumberFormat="1" applyFont="1" applyBorder="1" applyAlignment="1">
      <alignment horizontal="right" vertical="center"/>
    </xf>
    <xf numFmtId="43" fontId="0" fillId="0" borderId="11" xfId="2" applyFont="1" applyBorder="1" applyAlignment="1">
      <alignment horizontal="right" vertical="center"/>
    </xf>
    <xf numFmtId="43" fontId="0" fillId="0" borderId="12" xfId="2" applyFont="1" applyBorder="1" applyAlignment="1">
      <alignment horizontal="right" vertical="center"/>
    </xf>
    <xf numFmtId="43" fontId="2" fillId="0" borderId="11" xfId="2" applyFont="1" applyBorder="1" applyAlignment="1">
      <alignment horizontal="center"/>
    </xf>
    <xf numFmtId="43" fontId="2" fillId="0" borderId="0" xfId="2" applyFont="1" applyAlignment="1">
      <alignment horizontal="center"/>
    </xf>
    <xf numFmtId="43" fontId="2" fillId="0" borderId="12" xfId="2" applyFont="1" applyBorder="1" applyAlignment="1">
      <alignment horizontal="center"/>
    </xf>
    <xf numFmtId="43" fontId="0" fillId="0" borderId="11" xfId="0" applyNumberFormat="1" applyBorder="1"/>
    <xf numFmtId="43" fontId="0" fillId="0" borderId="12" xfId="0" applyNumberFormat="1" applyBorder="1"/>
    <xf numFmtId="0" fontId="2" fillId="2" borderId="2" xfId="0" applyFont="1" applyFill="1" applyBorder="1" applyAlignment="1">
      <alignment horizontal="left" vertical="center"/>
    </xf>
    <xf numFmtId="43" fontId="2" fillId="0" borderId="13" xfId="0" applyNumberFormat="1" applyFont="1" applyBorder="1" applyAlignment="1">
      <alignment horizontal="right" vertical="center"/>
    </xf>
    <xf numFmtId="43" fontId="2" fillId="0" borderId="11" xfId="0" applyNumberFormat="1" applyFont="1" applyBorder="1" applyAlignment="1">
      <alignment horizontal="right" vertical="center"/>
    </xf>
    <xf numFmtId="43" fontId="2" fillId="0" borderId="0" xfId="0" applyNumberFormat="1" applyFont="1" applyAlignment="1">
      <alignment horizontal="right" vertical="center"/>
    </xf>
    <xf numFmtId="43" fontId="2" fillId="0" borderId="12" xfId="0" applyNumberFormat="1" applyFont="1" applyBorder="1" applyAlignment="1">
      <alignment horizontal="right" vertical="center"/>
    </xf>
    <xf numFmtId="0" fontId="8" fillId="0" borderId="10" xfId="0" applyFont="1" applyBorder="1" applyAlignment="1">
      <alignment vertical="center" wrapText="1"/>
    </xf>
    <xf numFmtId="3" fontId="5" fillId="0" borderId="11" xfId="0" applyNumberFormat="1" applyFont="1" applyBorder="1"/>
    <xf numFmtId="3" fontId="16" fillId="0" borderId="11" xfId="0" applyNumberFormat="1" applyFont="1" applyBorder="1"/>
    <xf numFmtId="3" fontId="16" fillId="0" borderId="0" xfId="0" applyNumberFormat="1" applyFont="1"/>
    <xf numFmtId="3" fontId="16" fillId="0" borderId="12" xfId="0" applyNumberFormat="1" applyFont="1" applyBorder="1"/>
    <xf numFmtId="0" fontId="8" fillId="0" borderId="7" xfId="0" applyFont="1" applyBorder="1" applyAlignment="1">
      <alignment vertical="center" wrapText="1"/>
    </xf>
    <xf numFmtId="0" fontId="8" fillId="0" borderId="12" xfId="0" applyFont="1" applyBorder="1" applyAlignment="1">
      <alignment vertical="center" wrapText="1"/>
    </xf>
    <xf numFmtId="0" fontId="2" fillId="0" borderId="4" xfId="0" applyFont="1" applyBorder="1"/>
    <xf numFmtId="0" fontId="2" fillId="0" borderId="2" xfId="0" applyFont="1" applyBorder="1"/>
    <xf numFmtId="3" fontId="0" fillId="0" borderId="11" xfId="0" applyNumberFormat="1" applyBorder="1"/>
    <xf numFmtId="3" fontId="0" fillId="0" borderId="12" xfId="0" applyNumberFormat="1" applyBorder="1"/>
    <xf numFmtId="17" fontId="12" fillId="4" borderId="1" xfId="0" applyNumberFormat="1" applyFont="1" applyFill="1" applyBorder="1" applyAlignment="1">
      <alignment vertical="center"/>
    </xf>
    <xf numFmtId="17" fontId="12" fillId="4" borderId="5" xfId="0" applyNumberFormat="1" applyFont="1" applyFill="1" applyBorder="1" applyAlignment="1">
      <alignment vertical="center"/>
    </xf>
    <xf numFmtId="0" fontId="0" fillId="0" borderId="11" xfId="0" applyBorder="1"/>
    <xf numFmtId="165" fontId="0" fillId="0" borderId="13" xfId="2" applyNumberFormat="1" applyFont="1" applyBorder="1"/>
    <xf numFmtId="43" fontId="0" fillId="0" borderId="0" xfId="2" applyFont="1"/>
    <xf numFmtId="165" fontId="0" fillId="0" borderId="11" xfId="2" applyNumberFormat="1" applyFont="1" applyBorder="1"/>
    <xf numFmtId="170" fontId="8" fillId="8" borderId="44" xfId="0" applyNumberFormat="1" applyFont="1" applyFill="1" applyBorder="1" applyAlignment="1">
      <alignment vertical="center"/>
    </xf>
    <xf numFmtId="170" fontId="8" fillId="8" borderId="0" xfId="0" applyNumberFormat="1" applyFont="1" applyFill="1" applyAlignment="1">
      <alignment vertical="center"/>
    </xf>
    <xf numFmtId="170" fontId="8" fillId="8" borderId="45" xfId="0" applyNumberFormat="1" applyFont="1" applyFill="1" applyBorder="1" applyAlignment="1">
      <alignment vertical="center"/>
    </xf>
    <xf numFmtId="170" fontId="8" fillId="8" borderId="12" xfId="0" applyNumberFormat="1" applyFont="1" applyFill="1" applyBorder="1" applyAlignment="1">
      <alignment vertical="center"/>
    </xf>
    <xf numFmtId="170" fontId="10" fillId="8" borderId="46" xfId="0" applyNumberFormat="1" applyFont="1" applyFill="1" applyBorder="1" applyAlignment="1">
      <alignment vertical="center"/>
    </xf>
    <xf numFmtId="0" fontId="0" fillId="13" borderId="0" xfId="0" applyFill="1"/>
    <xf numFmtId="170" fontId="8" fillId="8" borderId="49" xfId="0" applyNumberFormat="1" applyFont="1" applyFill="1" applyBorder="1" applyAlignment="1">
      <alignment vertical="center"/>
    </xf>
    <xf numFmtId="170" fontId="8" fillId="8" borderId="50" xfId="0" applyNumberFormat="1" applyFont="1" applyFill="1" applyBorder="1" applyAlignment="1">
      <alignment vertical="center"/>
    </xf>
    <xf numFmtId="170" fontId="8" fillId="8" borderId="51" xfId="0" applyNumberFormat="1" applyFont="1" applyFill="1" applyBorder="1" applyAlignment="1">
      <alignment vertical="center"/>
    </xf>
    <xf numFmtId="170" fontId="8" fillId="8" borderId="46" xfId="0" applyNumberFormat="1" applyFont="1" applyFill="1" applyBorder="1" applyAlignment="1">
      <alignment vertical="center"/>
    </xf>
    <xf numFmtId="3" fontId="0" fillId="6" borderId="0" xfId="0" applyNumberFormat="1" applyFill="1"/>
    <xf numFmtId="170" fontId="8" fillId="8" borderId="52" xfId="0" applyNumberFormat="1" applyFont="1" applyFill="1" applyBorder="1" applyAlignment="1">
      <alignment vertical="center"/>
    </xf>
    <xf numFmtId="170" fontId="8" fillId="8" borderId="53" xfId="0" applyNumberFormat="1" applyFont="1" applyFill="1" applyBorder="1" applyAlignment="1">
      <alignment vertical="center"/>
    </xf>
    <xf numFmtId="165" fontId="2" fillId="0" borderId="2" xfId="2" applyNumberFormat="1" applyFont="1" applyBorder="1"/>
    <xf numFmtId="165" fontId="2" fillId="0" borderId="5" xfId="2" applyNumberFormat="1" applyFont="1" applyBorder="1"/>
    <xf numFmtId="9" fontId="8" fillId="8" borderId="52" xfId="1" applyFont="1" applyFill="1" applyBorder="1" applyAlignment="1">
      <alignment vertical="center"/>
    </xf>
    <xf numFmtId="9" fontId="8" fillId="8" borderId="0" xfId="1" applyFont="1" applyFill="1" applyAlignment="1">
      <alignment vertical="center"/>
    </xf>
    <xf numFmtId="9" fontId="8" fillId="8" borderId="53" xfId="1" applyFont="1" applyFill="1" applyBorder="1" applyAlignment="1">
      <alignment vertical="center"/>
    </xf>
    <xf numFmtId="9" fontId="8" fillId="8" borderId="12" xfId="1" applyFont="1" applyFill="1" applyBorder="1" applyAlignment="1">
      <alignment vertical="center"/>
    </xf>
    <xf numFmtId="9" fontId="8" fillId="8" borderId="46" xfId="1" applyFont="1" applyFill="1" applyBorder="1" applyAlignment="1">
      <alignment vertical="center"/>
    </xf>
    <xf numFmtId="170" fontId="8" fillId="8" borderId="56" xfId="0" applyNumberFormat="1" applyFont="1" applyFill="1" applyBorder="1" applyAlignment="1">
      <alignment vertical="center"/>
    </xf>
    <xf numFmtId="170" fontId="8" fillId="8" borderId="3" xfId="0" applyNumberFormat="1" applyFont="1" applyFill="1" applyBorder="1" applyAlignment="1">
      <alignment vertical="center"/>
    </xf>
    <xf numFmtId="170" fontId="8" fillId="8" borderId="57" xfId="0" applyNumberFormat="1" applyFont="1" applyFill="1" applyBorder="1" applyAlignment="1">
      <alignment vertical="center"/>
    </xf>
    <xf numFmtId="170" fontId="8" fillId="8" borderId="7" xfId="0" applyNumberFormat="1" applyFont="1" applyFill="1" applyBorder="1" applyAlignment="1">
      <alignment vertical="center"/>
    </xf>
    <xf numFmtId="170" fontId="8" fillId="8" borderId="58" xfId="0" applyNumberFormat="1" applyFont="1" applyFill="1" applyBorder="1" applyAlignment="1">
      <alignment vertical="center"/>
    </xf>
    <xf numFmtId="0" fontId="8" fillId="8" borderId="10" xfId="0" applyFont="1" applyFill="1" applyBorder="1" applyAlignment="1">
      <alignment vertical="center" wrapText="1"/>
    </xf>
    <xf numFmtId="0" fontId="8" fillId="8" borderId="12" xfId="0" applyFont="1" applyFill="1" applyBorder="1" applyAlignment="1">
      <alignment vertical="center" wrapText="1"/>
    </xf>
    <xf numFmtId="165" fontId="2" fillId="2" borderId="1" xfId="0" applyNumberFormat="1" applyFont="1" applyFill="1" applyBorder="1" applyAlignment="1">
      <alignment horizontal="right" vertical="center"/>
    </xf>
    <xf numFmtId="165" fontId="0" fillId="7" borderId="11" xfId="2" applyNumberFormat="1" applyFont="1" applyFill="1" applyBorder="1"/>
    <xf numFmtId="0" fontId="8" fillId="8" borderId="7" xfId="0" applyFont="1" applyFill="1" applyBorder="1" applyAlignment="1">
      <alignment vertical="center" wrapText="1"/>
    </xf>
    <xf numFmtId="0" fontId="8" fillId="8" borderId="11" xfId="0" applyFont="1" applyFill="1" applyBorder="1" applyAlignment="1">
      <alignment vertical="center" wrapText="1"/>
    </xf>
    <xf numFmtId="0" fontId="8" fillId="8" borderId="0" xfId="0" applyFont="1" applyFill="1" applyAlignment="1">
      <alignment vertical="center" wrapText="1"/>
    </xf>
    <xf numFmtId="0" fontId="8" fillId="8" borderId="6" xfId="0" applyFont="1" applyFill="1" applyBorder="1" applyAlignment="1">
      <alignment vertical="center" wrapText="1"/>
    </xf>
    <xf numFmtId="0" fontId="8" fillId="8" borderId="3" xfId="0" applyFont="1" applyFill="1" applyBorder="1" applyAlignment="1">
      <alignment vertical="center" wrapText="1"/>
    </xf>
    <xf numFmtId="0" fontId="0" fillId="8" borderId="0" xfId="0" applyFill="1" applyAlignment="1">
      <alignment vertical="top" wrapText="1"/>
    </xf>
    <xf numFmtId="3" fontId="0" fillId="0" borderId="0" xfId="0" applyNumberFormat="1" applyAlignment="1">
      <alignment horizontal="right" wrapText="1"/>
    </xf>
    <xf numFmtId="3" fontId="0" fillId="0" borderId="0" xfId="0" applyNumberFormat="1" applyAlignment="1">
      <alignment horizontal="right"/>
    </xf>
    <xf numFmtId="43" fontId="2" fillId="2" borderId="1" xfId="0" applyNumberFormat="1" applyFont="1" applyFill="1" applyBorder="1" applyAlignment="1">
      <alignment horizontal="right" vertical="center"/>
    </xf>
    <xf numFmtId="165" fontId="2" fillId="2" borderId="5" xfId="0" applyNumberFormat="1" applyFont="1" applyFill="1" applyBorder="1" applyAlignment="1">
      <alignment horizontal="right" vertical="center"/>
    </xf>
    <xf numFmtId="3" fontId="0" fillId="0" borderId="12" xfId="0" applyNumberFormat="1" applyBorder="1" applyAlignment="1">
      <alignment horizontal="right"/>
    </xf>
    <xf numFmtId="3" fontId="5" fillId="0" borderId="0" xfId="0" applyNumberFormat="1" applyFont="1" applyAlignment="1">
      <alignment horizontal="right"/>
    </xf>
    <xf numFmtId="3" fontId="5" fillId="0" borderId="12" xfId="0" applyNumberFormat="1" applyFont="1" applyBorder="1" applyAlignment="1">
      <alignment horizontal="right"/>
    </xf>
    <xf numFmtId="43" fontId="0" fillId="0" borderId="0" xfId="0" applyNumberFormat="1" applyAlignment="1">
      <alignment horizontal="right"/>
    </xf>
    <xf numFmtId="43" fontId="0" fillId="0" borderId="12" xfId="0" applyNumberFormat="1" applyBorder="1" applyAlignment="1">
      <alignment horizontal="right"/>
    </xf>
    <xf numFmtId="43" fontId="0" fillId="0" borderId="0" xfId="0" applyNumberFormat="1" applyAlignment="1">
      <alignment horizontal="right" vertical="center"/>
    </xf>
    <xf numFmtId="43" fontId="0" fillId="0" borderId="12" xfId="0" applyNumberFormat="1" applyBorder="1" applyAlignment="1">
      <alignment horizontal="right" vertical="center"/>
    </xf>
    <xf numFmtId="0" fontId="0" fillId="0" borderId="8" xfId="0" applyBorder="1"/>
    <xf numFmtId="0" fontId="0" fillId="0" borderId="10" xfId="0" applyBorder="1"/>
    <xf numFmtId="0" fontId="0" fillId="0" borderId="12" xfId="0" applyBorder="1"/>
    <xf numFmtId="0" fontId="0" fillId="0" borderId="7" xfId="0" applyBorder="1"/>
    <xf numFmtId="0" fontId="6" fillId="0" borderId="0" xfId="0" applyFont="1" applyAlignment="1">
      <alignment horizontal="center"/>
    </xf>
    <xf numFmtId="0" fontId="2" fillId="0" borderId="0" xfId="0" applyFont="1" applyAlignment="1">
      <alignment horizontal="center"/>
    </xf>
    <xf numFmtId="9" fontId="0" fillId="0" borderId="0" xfId="1" applyFont="1"/>
    <xf numFmtId="9" fontId="2" fillId="0" borderId="0" xfId="1" applyFont="1"/>
    <xf numFmtId="3" fontId="0" fillId="13" borderId="13" xfId="0" applyNumberFormat="1" applyFill="1" applyBorder="1"/>
    <xf numFmtId="0" fontId="0" fillId="0" borderId="14" xfId="0" applyBorder="1"/>
    <xf numFmtId="0" fontId="0" fillId="0" borderId="13" xfId="0" applyBorder="1"/>
    <xf numFmtId="0" fontId="0" fillId="0" borderId="15" xfId="0" applyBorder="1"/>
    <xf numFmtId="0" fontId="5" fillId="0" borderId="0" xfId="0" applyFont="1"/>
    <xf numFmtId="0" fontId="5" fillId="0" borderId="13" xfId="0" applyFont="1" applyBorder="1"/>
    <xf numFmtId="0" fontId="5" fillId="0" borderId="15" xfId="0" applyFont="1" applyBorder="1"/>
    <xf numFmtId="0" fontId="4" fillId="12" borderId="2" xfId="0" applyFont="1" applyFill="1" applyBorder="1"/>
    <xf numFmtId="0" fontId="4" fillId="2" borderId="4" xfId="0" applyFont="1" applyFill="1" applyBorder="1"/>
    <xf numFmtId="0" fontId="0" fillId="0" borderId="2" xfId="0" applyBorder="1" applyAlignment="1">
      <alignment horizontal="center" vertical="center" wrapText="1"/>
    </xf>
    <xf numFmtId="0" fontId="5" fillId="0" borderId="14" xfId="0" applyFont="1" applyBorder="1"/>
    <xf numFmtId="0" fontId="8" fillId="5" borderId="1" xfId="0" applyFont="1" applyFill="1" applyBorder="1"/>
    <xf numFmtId="0" fontId="2" fillId="2" borderId="2" xfId="0" applyFont="1" applyFill="1" applyBorder="1" applyAlignment="1">
      <alignment horizontal="center" vertical="center" wrapText="1" readingOrder="2"/>
    </xf>
    <xf numFmtId="0" fontId="4" fillId="2" borderId="13" xfId="0" applyFont="1" applyFill="1" applyBorder="1"/>
    <xf numFmtId="0" fontId="3" fillId="0" borderId="10" xfId="4" applyFont="1" applyBorder="1" applyAlignment="1">
      <alignment vertical="center"/>
    </xf>
    <xf numFmtId="0" fontId="3" fillId="0" borderId="7" xfId="4" applyFont="1" applyBorder="1" applyAlignment="1">
      <alignment vertical="center"/>
    </xf>
    <xf numFmtId="0" fontId="2" fillId="2" borderId="14" xfId="0" applyFont="1" applyFill="1" applyBorder="1" applyAlignment="1">
      <alignment horizontal="center" vertical="center"/>
    </xf>
    <xf numFmtId="0" fontId="2" fillId="2" borderId="5" xfId="0" applyFont="1" applyFill="1" applyBorder="1" applyAlignment="1">
      <alignment horizontal="center" vertical="center"/>
    </xf>
    <xf numFmtId="0" fontId="2" fillId="2" borderId="10" xfId="0" applyFont="1" applyFill="1" applyBorder="1" applyAlignment="1">
      <alignment horizontal="center" vertical="center"/>
    </xf>
    <xf numFmtId="9" fontId="2" fillId="2" borderId="2" xfId="1" applyFont="1" applyFill="1" applyBorder="1" applyAlignment="1">
      <alignment horizontal="center" vertical="center"/>
    </xf>
    <xf numFmtId="0" fontId="2" fillId="2" borderId="7" xfId="0" applyFont="1" applyFill="1" applyBorder="1" applyAlignment="1">
      <alignment horizontal="center" vertical="center"/>
    </xf>
    <xf numFmtId="165" fontId="0" fillId="8" borderId="5" xfId="2" applyNumberFormat="1" applyFont="1" applyFill="1" applyBorder="1" applyAlignment="1">
      <alignment horizontal="center" vertical="center"/>
    </xf>
    <xf numFmtId="9" fontId="0" fillId="8" borderId="2" xfId="1" applyFont="1" applyFill="1" applyBorder="1" applyAlignment="1">
      <alignment horizontal="center" vertical="center"/>
    </xf>
    <xf numFmtId="165" fontId="0" fillId="8" borderId="4" xfId="2" applyNumberFormat="1" applyFont="1" applyFill="1" applyBorder="1" applyAlignment="1">
      <alignment horizontal="center" vertical="center"/>
    </xf>
    <xf numFmtId="165" fontId="0" fillId="8" borderId="2" xfId="2" applyNumberFormat="1" applyFont="1" applyFill="1" applyBorder="1" applyAlignment="1">
      <alignment horizontal="center" vertical="center"/>
    </xf>
    <xf numFmtId="165" fontId="0" fillId="8" borderId="5" xfId="0" applyNumberFormat="1" applyFill="1" applyBorder="1" applyAlignment="1">
      <alignment horizontal="center" vertical="center"/>
    </xf>
    <xf numFmtId="164" fontId="0" fillId="8" borderId="5" xfId="1" applyNumberFormat="1" applyFont="1" applyFill="1" applyBorder="1" applyAlignment="1">
      <alignment horizontal="center" vertical="center"/>
    </xf>
    <xf numFmtId="165" fontId="2" fillId="2" borderId="5" xfId="2" applyNumberFormat="1" applyFont="1" applyFill="1" applyBorder="1" applyAlignment="1">
      <alignment horizontal="center" vertical="center"/>
    </xf>
    <xf numFmtId="9" fontId="2" fillId="2" borderId="5" xfId="1" applyFont="1" applyFill="1" applyBorder="1" applyAlignment="1">
      <alignment horizontal="center" vertical="center"/>
    </xf>
    <xf numFmtId="165" fontId="2" fillId="2" borderId="2" xfId="0" applyNumberFormat="1" applyFont="1" applyFill="1" applyBorder="1" applyAlignment="1">
      <alignment horizontal="center" vertical="center"/>
    </xf>
    <xf numFmtId="165" fontId="2" fillId="2" borderId="5" xfId="0" applyNumberFormat="1" applyFont="1" applyFill="1" applyBorder="1" applyAlignment="1">
      <alignment horizontal="center" vertical="center"/>
    </xf>
    <xf numFmtId="0" fontId="0" fillId="0" borderId="0" xfId="0" applyAlignment="1">
      <alignment horizontal="right" vertical="center" readingOrder="2"/>
    </xf>
    <xf numFmtId="14" fontId="2" fillId="8" borderId="0" xfId="0" applyNumberFormat="1" applyFont="1" applyFill="1" applyAlignment="1">
      <alignment vertical="center"/>
    </xf>
    <xf numFmtId="14" fontId="2" fillId="8" borderId="0" xfId="0" applyNumberFormat="1" applyFont="1" applyFill="1" applyAlignment="1">
      <alignment horizontal="center" vertical="center"/>
    </xf>
    <xf numFmtId="167" fontId="2" fillId="8" borderId="0" xfId="0" applyNumberFormat="1" applyFont="1" applyFill="1" applyAlignment="1">
      <alignment horizontal="center" vertical="center"/>
    </xf>
    <xf numFmtId="167" fontId="0" fillId="16" borderId="13" xfId="0" applyNumberFormat="1" applyFill="1" applyBorder="1" applyAlignment="1">
      <alignment vertical="center"/>
    </xf>
    <xf numFmtId="0" fontId="2" fillId="2" borderId="63" xfId="2" applyNumberFormat="1" applyFont="1" applyFill="1" applyBorder="1" applyAlignment="1">
      <alignment vertical="center"/>
    </xf>
    <xf numFmtId="167" fontId="0" fillId="0" borderId="0" xfId="0" applyNumberFormat="1" applyAlignment="1">
      <alignment vertical="center"/>
    </xf>
    <xf numFmtId="49" fontId="4" fillId="2" borderId="0" xfId="0" applyNumberFormat="1" applyFont="1" applyFill="1" applyAlignment="1">
      <alignment horizontal="center" vertical="center" wrapText="1"/>
    </xf>
    <xf numFmtId="49" fontId="4" fillId="8" borderId="0" xfId="0" applyNumberFormat="1" applyFont="1" applyFill="1" applyAlignment="1">
      <alignment horizontal="center" vertical="center" wrapText="1"/>
    </xf>
    <xf numFmtId="0" fontId="2" fillId="2" borderId="65" xfId="2" applyNumberFormat="1" applyFont="1" applyFill="1" applyBorder="1" applyAlignment="1">
      <alignment vertical="center"/>
    </xf>
    <xf numFmtId="0" fontId="0" fillId="8" borderId="66" xfId="0" applyFill="1" applyBorder="1" applyAlignment="1">
      <alignment horizontal="center" vertical="center"/>
    </xf>
    <xf numFmtId="41" fontId="2" fillId="8" borderId="67" xfId="0" applyNumberFormat="1" applyFont="1" applyFill="1" applyBorder="1" applyAlignment="1">
      <alignment horizontal="center" vertical="center"/>
    </xf>
    <xf numFmtId="41" fontId="2" fillId="8" borderId="66" xfId="0" applyNumberFormat="1" applyFont="1" applyFill="1" applyBorder="1" applyAlignment="1">
      <alignment horizontal="center" vertical="center"/>
    </xf>
    <xf numFmtId="41" fontId="2" fillId="8" borderId="0" xfId="0" applyNumberFormat="1" applyFont="1" applyFill="1" applyAlignment="1">
      <alignment horizontal="center" vertical="center"/>
    </xf>
    <xf numFmtId="167" fontId="0" fillId="8" borderId="66" xfId="0" applyNumberFormat="1" applyFill="1" applyBorder="1" applyAlignment="1">
      <alignment horizontal="center" vertical="center"/>
    </xf>
    <xf numFmtId="14" fontId="0" fillId="17" borderId="66" xfId="0" applyNumberFormat="1" applyFill="1" applyBorder="1" applyAlignment="1">
      <alignment horizontal="center" vertical="center" wrapText="1"/>
    </xf>
    <xf numFmtId="14" fontId="0" fillId="8" borderId="66" xfId="0" applyNumberFormat="1" applyFill="1" applyBorder="1" applyAlignment="1">
      <alignment horizontal="center" vertical="center" wrapText="1"/>
    </xf>
    <xf numFmtId="2" fontId="0" fillId="8" borderId="66" xfId="0" applyNumberFormat="1" applyFill="1" applyBorder="1" applyAlignment="1">
      <alignment horizontal="center" vertical="center" wrapText="1"/>
    </xf>
    <xf numFmtId="41" fontId="0" fillId="8" borderId="66" xfId="0" applyNumberFormat="1" applyFill="1" applyBorder="1" applyAlignment="1">
      <alignment horizontal="center" vertical="center"/>
    </xf>
    <xf numFmtId="41" fontId="0" fillId="17" borderId="66" xfId="0" applyNumberFormat="1" applyFill="1" applyBorder="1" applyAlignment="1">
      <alignment horizontal="center" vertical="center"/>
    </xf>
    <xf numFmtId="0" fontId="0" fillId="8" borderId="0" xfId="0" applyFill="1" applyAlignment="1">
      <alignment horizontal="center" vertical="center"/>
    </xf>
    <xf numFmtId="14" fontId="0" fillId="17" borderId="0" xfId="0" applyNumberFormat="1" applyFill="1" applyAlignment="1">
      <alignment horizontal="center" vertical="center" wrapText="1"/>
    </xf>
    <xf numFmtId="41" fontId="0" fillId="8" borderId="0" xfId="0" applyNumberFormat="1" applyFill="1" applyAlignment="1">
      <alignment horizontal="center" vertical="center"/>
    </xf>
    <xf numFmtId="41" fontId="0" fillId="17" borderId="0" xfId="0" applyNumberFormat="1" applyFill="1" applyAlignment="1">
      <alignment horizontal="center" vertical="center"/>
    </xf>
    <xf numFmtId="0" fontId="1" fillId="2" borderId="73" xfId="2" applyNumberFormat="1" applyFill="1" applyBorder="1" applyAlignment="1">
      <alignment horizontal="center" vertical="center"/>
    </xf>
    <xf numFmtId="0" fontId="1" fillId="2" borderId="74" xfId="2" applyNumberFormat="1" applyFill="1" applyBorder="1" applyAlignment="1">
      <alignment horizontal="center" vertical="center"/>
    </xf>
    <xf numFmtId="0" fontId="1" fillId="2" borderId="75" xfId="2" applyNumberFormat="1" applyFill="1" applyBorder="1" applyAlignment="1">
      <alignment horizontal="center" vertical="center"/>
    </xf>
    <xf numFmtId="0" fontId="1" fillId="2" borderId="76" xfId="2" applyNumberFormat="1" applyFill="1" applyBorder="1" applyAlignment="1">
      <alignment horizontal="center" vertical="center"/>
    </xf>
    <xf numFmtId="41" fontId="5" fillId="17" borderId="0" xfId="0" applyNumberFormat="1" applyFont="1" applyFill="1" applyAlignment="1">
      <alignment horizontal="center" vertical="center"/>
    </xf>
    <xf numFmtId="165" fontId="2" fillId="2" borderId="73" xfId="2" applyNumberFormat="1" applyFont="1" applyFill="1" applyBorder="1" applyAlignment="1">
      <alignment vertical="center"/>
    </xf>
    <xf numFmtId="165" fontId="2" fillId="2" borderId="74" xfId="2" applyNumberFormat="1" applyFont="1" applyFill="1" applyBorder="1" applyAlignment="1">
      <alignment vertical="center"/>
    </xf>
    <xf numFmtId="165" fontId="2" fillId="2" borderId="75" xfId="2" applyNumberFormat="1" applyFont="1" applyFill="1" applyBorder="1" applyAlignment="1">
      <alignment vertical="center"/>
    </xf>
    <xf numFmtId="165" fontId="2" fillId="2" borderId="76" xfId="2" applyNumberFormat="1" applyFont="1" applyFill="1" applyBorder="1" applyAlignment="1">
      <alignment vertical="center"/>
    </xf>
    <xf numFmtId="0" fontId="0" fillId="8" borderId="77" xfId="0" applyFill="1" applyBorder="1" applyAlignment="1">
      <alignment horizontal="center" vertical="center"/>
    </xf>
    <xf numFmtId="167" fontId="0" fillId="8" borderId="78" xfId="0" applyNumberFormat="1" applyFill="1" applyBorder="1" applyAlignment="1">
      <alignment horizontal="center" vertical="center"/>
    </xf>
    <xf numFmtId="0" fontId="0" fillId="0" borderId="79" xfId="2" applyNumberFormat="1" applyFont="1" applyBorder="1" applyAlignment="1">
      <alignment vertical="center"/>
    </xf>
    <xf numFmtId="165" fontId="0" fillId="0" borderId="80" xfId="2" applyNumberFormat="1" applyFont="1" applyBorder="1" applyAlignment="1">
      <alignment vertical="center"/>
    </xf>
    <xf numFmtId="165" fontId="0" fillId="0" borderId="81" xfId="2" applyNumberFormat="1" applyFont="1" applyBorder="1" applyAlignment="1">
      <alignment vertical="center"/>
    </xf>
    <xf numFmtId="165" fontId="0" fillId="0" borderId="82" xfId="2" applyNumberFormat="1" applyFont="1" applyBorder="1" applyAlignment="1">
      <alignment vertical="center"/>
    </xf>
    <xf numFmtId="165" fontId="0" fillId="0" borderId="83" xfId="2" applyNumberFormat="1" applyFont="1" applyBorder="1" applyAlignment="1">
      <alignment vertical="center"/>
    </xf>
    <xf numFmtId="165" fontId="0" fillId="0" borderId="84" xfId="2" applyNumberFormat="1" applyFont="1" applyBorder="1" applyAlignment="1">
      <alignment vertical="center"/>
    </xf>
    <xf numFmtId="167" fontId="2" fillId="8" borderId="85" xfId="0" applyNumberFormat="1" applyFont="1" applyFill="1" applyBorder="1" applyAlignment="1">
      <alignment horizontal="center" vertical="center" wrapText="1"/>
    </xf>
    <xf numFmtId="41" fontId="2" fillId="8" borderId="85" xfId="0" applyNumberFormat="1" applyFont="1" applyFill="1" applyBorder="1" applyAlignment="1">
      <alignment horizontal="center" vertical="center"/>
    </xf>
    <xf numFmtId="167" fontId="0" fillId="8" borderId="67" xfId="0" applyNumberFormat="1" applyFill="1" applyBorder="1" applyAlignment="1">
      <alignment horizontal="center" vertical="center"/>
    </xf>
    <xf numFmtId="14" fontId="0" fillId="17" borderId="67" xfId="0" applyNumberFormat="1" applyFill="1" applyBorder="1" applyAlignment="1">
      <alignment horizontal="center" vertical="center"/>
    </xf>
    <xf numFmtId="14" fontId="0" fillId="8" borderId="67" xfId="0" applyNumberFormat="1" applyFill="1" applyBorder="1" applyAlignment="1">
      <alignment horizontal="center" vertical="center" wrapText="1"/>
    </xf>
    <xf numFmtId="2" fontId="0" fillId="8" borderId="67" xfId="0" applyNumberFormat="1" applyFill="1" applyBorder="1" applyAlignment="1">
      <alignment horizontal="center" vertical="center" wrapText="1"/>
    </xf>
    <xf numFmtId="41" fontId="0" fillId="8" borderId="67" xfId="0" applyNumberFormat="1" applyFill="1" applyBorder="1" applyAlignment="1">
      <alignment horizontal="center" vertical="center"/>
    </xf>
    <xf numFmtId="41" fontId="0" fillId="17" borderId="67" xfId="0" applyNumberFormat="1" applyFill="1" applyBorder="1" applyAlignment="1">
      <alignment horizontal="center" vertical="center"/>
    </xf>
    <xf numFmtId="0" fontId="0" fillId="0" borderId="11" xfId="2" applyNumberFormat="1" applyFont="1" applyBorder="1" applyAlignment="1">
      <alignment vertical="center"/>
    </xf>
    <xf numFmtId="165" fontId="0" fillId="0" borderId="86" xfId="2" applyNumberFormat="1" applyFont="1" applyBorder="1" applyAlignment="1">
      <alignment vertical="center"/>
    </xf>
    <xf numFmtId="165" fontId="0" fillId="0" borderId="87" xfId="2" applyNumberFormat="1" applyFont="1" applyBorder="1" applyAlignment="1">
      <alignment vertical="center"/>
    </xf>
    <xf numFmtId="165" fontId="0" fillId="0" borderId="88" xfId="2" applyNumberFormat="1" applyFont="1" applyBorder="1" applyAlignment="1">
      <alignment vertical="center"/>
    </xf>
    <xf numFmtId="165" fontId="0" fillId="0" borderId="89" xfId="2" applyNumberFormat="1" applyFont="1" applyBorder="1" applyAlignment="1">
      <alignment vertical="center"/>
    </xf>
    <xf numFmtId="165" fontId="0" fillId="0" borderId="90" xfId="2" applyNumberFormat="1" applyFont="1" applyBorder="1" applyAlignment="1">
      <alignment vertical="center"/>
    </xf>
    <xf numFmtId="0" fontId="0" fillId="0" borderId="0" xfId="0" applyAlignment="1">
      <alignment vertical="center"/>
    </xf>
    <xf numFmtId="0" fontId="0" fillId="8" borderId="0" xfId="0" applyFill="1" applyAlignment="1">
      <alignment vertical="center"/>
    </xf>
    <xf numFmtId="0" fontId="0" fillId="16" borderId="13" xfId="0" applyFill="1" applyBorder="1" applyAlignment="1">
      <alignment vertical="center"/>
    </xf>
    <xf numFmtId="14" fontId="0" fillId="17" borderId="0" xfId="0" applyNumberFormat="1" applyFill="1" applyAlignment="1">
      <alignment horizontal="center" vertical="center"/>
    </xf>
    <xf numFmtId="0" fontId="0" fillId="8" borderId="0" xfId="0" applyFill="1" applyAlignment="1">
      <alignment horizontal="right" vertical="center"/>
    </xf>
    <xf numFmtId="14" fontId="0" fillId="17" borderId="0" xfId="0" applyNumberFormat="1" applyFill="1" applyAlignment="1">
      <alignment horizontal="left" vertical="center"/>
    </xf>
    <xf numFmtId="167" fontId="0" fillId="8" borderId="77" xfId="0" applyNumberFormat="1" applyFill="1" applyBorder="1" applyAlignment="1">
      <alignment horizontal="center" vertical="center"/>
    </xf>
    <xf numFmtId="14" fontId="0" fillId="17" borderId="77" xfId="0" applyNumberFormat="1" applyFill="1" applyBorder="1" applyAlignment="1">
      <alignment horizontal="center" vertical="center"/>
    </xf>
    <xf numFmtId="14" fontId="0" fillId="8" borderId="77" xfId="0" applyNumberFormat="1" applyFill="1" applyBorder="1" applyAlignment="1">
      <alignment horizontal="center" vertical="center" wrapText="1"/>
    </xf>
    <xf numFmtId="14" fontId="0" fillId="17" borderId="77" xfId="0" applyNumberFormat="1" applyFill="1" applyBorder="1" applyAlignment="1">
      <alignment horizontal="center" vertical="center" wrapText="1"/>
    </xf>
    <xf numFmtId="2" fontId="0" fillId="8" borderId="77" xfId="0" applyNumberFormat="1" applyFill="1" applyBorder="1" applyAlignment="1">
      <alignment horizontal="center" vertical="center" wrapText="1"/>
    </xf>
    <xf numFmtId="41" fontId="0" fillId="8" borderId="77" xfId="0" applyNumberFormat="1" applyFill="1" applyBorder="1" applyAlignment="1">
      <alignment horizontal="center" vertical="center"/>
    </xf>
    <xf numFmtId="41" fontId="0" fillId="17" borderId="77" xfId="0" applyNumberFormat="1" applyFill="1" applyBorder="1" applyAlignment="1">
      <alignment horizontal="center" vertical="center"/>
    </xf>
    <xf numFmtId="14" fontId="0" fillId="17" borderId="67" xfId="0" applyNumberFormat="1" applyFill="1" applyBorder="1" applyAlignment="1">
      <alignment horizontal="center" vertical="center" wrapText="1"/>
    </xf>
    <xf numFmtId="0" fontId="0" fillId="22" borderId="91" xfId="0" applyFill="1" applyBorder="1" applyAlignment="1">
      <alignment vertical="center"/>
    </xf>
    <xf numFmtId="0" fontId="0" fillId="22" borderId="92" xfId="0" applyFill="1" applyBorder="1" applyAlignment="1">
      <alignment vertical="center"/>
    </xf>
    <xf numFmtId="167" fontId="0" fillId="0" borderId="0" xfId="0" applyNumberFormat="1" applyAlignment="1">
      <alignment horizontal="center" vertical="center"/>
    </xf>
    <xf numFmtId="14" fontId="0" fillId="0" borderId="0" xfId="0" applyNumberFormat="1" applyAlignment="1">
      <alignment vertical="center"/>
    </xf>
    <xf numFmtId="0" fontId="0" fillId="0" borderId="8" xfId="0" applyBorder="1" applyAlignment="1">
      <alignment horizontal="center" vertical="center"/>
    </xf>
    <xf numFmtId="165" fontId="0" fillId="0" borderId="8" xfId="2" applyNumberFormat="1" applyFont="1" applyBorder="1" applyAlignment="1">
      <alignment vertical="center"/>
    </xf>
    <xf numFmtId="49" fontId="0" fillId="0" borderId="8" xfId="0" applyNumberFormat="1" applyBorder="1" applyAlignment="1">
      <alignment vertical="center"/>
    </xf>
    <xf numFmtId="9" fontId="0" fillId="0" borderId="10" xfId="1" applyFont="1" applyBorder="1" applyAlignment="1">
      <alignment vertical="center"/>
    </xf>
    <xf numFmtId="0" fontId="0" fillId="0" borderId="4" xfId="0" applyBorder="1" applyAlignment="1">
      <alignment horizontal="center" vertical="center"/>
    </xf>
    <xf numFmtId="0" fontId="0" fillId="0" borderId="1" xfId="0" applyBorder="1" applyAlignment="1">
      <alignment horizontal="center" vertical="center"/>
    </xf>
    <xf numFmtId="165" fontId="0" fillId="0" borderId="1" xfId="2" applyNumberFormat="1" applyFont="1" applyBorder="1" applyAlignment="1">
      <alignment vertical="center"/>
    </xf>
    <xf numFmtId="49" fontId="0" fillId="0" borderId="1" xfId="0" applyNumberFormat="1" applyBorder="1" applyAlignment="1">
      <alignment vertical="center"/>
    </xf>
    <xf numFmtId="0" fontId="0" fillId="0" borderId="4" xfId="0" applyBorder="1" applyAlignment="1">
      <alignment horizontal="left" vertical="center"/>
    </xf>
    <xf numFmtId="0" fontId="0" fillId="0" borderId="4" xfId="0" applyBorder="1" applyAlignment="1">
      <alignment horizontal="left"/>
    </xf>
    <xf numFmtId="0" fontId="0" fillId="0" borderId="1" xfId="0" applyBorder="1"/>
    <xf numFmtId="49" fontId="0" fillId="0" borderId="1" xfId="0" applyNumberFormat="1" applyBorder="1"/>
    <xf numFmtId="165" fontId="2" fillId="12" borderId="1" xfId="2" applyNumberFormat="1" applyFont="1" applyFill="1" applyBorder="1" applyAlignment="1">
      <alignment vertical="center"/>
    </xf>
    <xf numFmtId="165" fontId="2" fillId="12" borderId="1" xfId="0" applyNumberFormat="1" applyFont="1" applyFill="1" applyBorder="1" applyAlignment="1">
      <alignment vertical="center"/>
    </xf>
    <xf numFmtId="9" fontId="2" fillId="12" borderId="10" xfId="1" applyFont="1" applyFill="1" applyBorder="1" applyAlignment="1">
      <alignment vertical="center"/>
    </xf>
    <xf numFmtId="0" fontId="0" fillId="0" borderId="9" xfId="0" applyBorder="1" applyAlignment="1">
      <alignment horizontal="left" vertical="center"/>
    </xf>
    <xf numFmtId="0" fontId="0" fillId="0" borderId="9" xfId="0" applyBorder="1" applyAlignment="1">
      <alignment horizontal="center" vertical="center"/>
    </xf>
    <xf numFmtId="49" fontId="0" fillId="0" borderId="8" xfId="0" applyNumberFormat="1" applyBorder="1" applyAlignment="1">
      <alignment horizontal="center" vertical="center"/>
    </xf>
    <xf numFmtId="0" fontId="0" fillId="0" borderId="4" xfId="0" applyBorder="1" applyAlignment="1">
      <alignment vertical="center"/>
    </xf>
    <xf numFmtId="0" fontId="0" fillId="0" borderId="1" xfId="0" applyBorder="1" applyAlignment="1">
      <alignment horizontal="center"/>
    </xf>
    <xf numFmtId="165" fontId="6" fillId="11" borderId="1" xfId="0" applyNumberFormat="1" applyFont="1" applyFill="1" applyBorder="1" applyAlignment="1">
      <alignment vertical="center"/>
    </xf>
    <xf numFmtId="9" fontId="6" fillId="11" borderId="5" xfId="1" applyFont="1" applyFill="1" applyBorder="1" applyAlignment="1">
      <alignment vertical="center"/>
    </xf>
    <xf numFmtId="9" fontId="0" fillId="0" borderId="5" xfId="1" applyFont="1" applyBorder="1" applyAlignment="1">
      <alignment vertical="center"/>
    </xf>
    <xf numFmtId="9" fontId="0" fillId="0" borderId="12" xfId="1" applyFont="1" applyBorder="1" applyAlignment="1">
      <alignment vertical="center"/>
    </xf>
    <xf numFmtId="165" fontId="2" fillId="5" borderId="1" xfId="0" applyNumberFormat="1" applyFont="1" applyFill="1" applyBorder="1" applyAlignment="1">
      <alignment vertical="center"/>
    </xf>
    <xf numFmtId="49" fontId="2" fillId="5" borderId="1" xfId="2" applyNumberFormat="1" applyFont="1" applyFill="1" applyBorder="1" applyAlignment="1">
      <alignment vertical="center"/>
    </xf>
    <xf numFmtId="9" fontId="2" fillId="5" borderId="10" xfId="1" applyFont="1" applyFill="1" applyBorder="1" applyAlignment="1">
      <alignment vertical="center"/>
    </xf>
    <xf numFmtId="0" fontId="0" fillId="0" borderId="0" xfId="0" applyAlignment="1">
      <alignment horizontal="center" vertical="center"/>
    </xf>
    <xf numFmtId="49" fontId="0" fillId="0" borderId="8" xfId="2" applyNumberFormat="1" applyFont="1" applyBorder="1" applyAlignment="1">
      <alignment vertical="center"/>
    </xf>
    <xf numFmtId="165" fontId="0" fillId="0" borderId="0" xfId="2" applyNumberFormat="1" applyFont="1" applyAlignment="1">
      <alignment vertical="center"/>
    </xf>
    <xf numFmtId="165" fontId="2" fillId="5" borderId="8" xfId="2" applyNumberFormat="1" applyFont="1" applyFill="1" applyBorder="1" applyAlignment="1">
      <alignment vertical="center"/>
    </xf>
    <xf numFmtId="49" fontId="2" fillId="5" borderId="8" xfId="2" applyNumberFormat="1" applyFont="1" applyFill="1" applyBorder="1" applyAlignment="1">
      <alignment vertical="center"/>
    </xf>
    <xf numFmtId="9" fontId="2" fillId="5" borderId="5" xfId="1" applyFont="1" applyFill="1" applyBorder="1" applyAlignment="1">
      <alignment vertical="center"/>
    </xf>
    <xf numFmtId="0" fontId="0" fillId="0" borderId="9" xfId="0" applyBorder="1" applyAlignment="1">
      <alignment vertical="center"/>
    </xf>
    <xf numFmtId="43" fontId="2" fillId="5" borderId="1" xfId="0" applyNumberFormat="1" applyFont="1" applyFill="1" applyBorder="1" applyAlignment="1">
      <alignment vertical="center"/>
    </xf>
    <xf numFmtId="0" fontId="0" fillId="0" borderId="1" xfId="0" applyBorder="1" applyAlignment="1">
      <alignment vertical="center"/>
    </xf>
    <xf numFmtId="165" fontId="2" fillId="5" borderId="1" xfId="2" applyNumberFormat="1" applyFont="1" applyFill="1" applyBorder="1" applyAlignment="1">
      <alignment vertical="center"/>
    </xf>
    <xf numFmtId="165" fontId="2" fillId="7" borderId="34" xfId="0" applyNumberFormat="1" applyFont="1" applyFill="1" applyBorder="1" applyAlignment="1">
      <alignment vertical="center"/>
    </xf>
    <xf numFmtId="9" fontId="2" fillId="7" borderId="39" xfId="1" applyFont="1" applyFill="1" applyBorder="1" applyAlignment="1">
      <alignment vertical="center"/>
    </xf>
    <xf numFmtId="0" fontId="0" fillId="0" borderId="38" xfId="0" applyBorder="1" applyAlignment="1">
      <alignment horizontal="left"/>
    </xf>
    <xf numFmtId="0" fontId="0" fillId="0" borderId="38" xfId="0" applyBorder="1" applyAlignment="1">
      <alignment horizontal="center" vertical="center"/>
    </xf>
    <xf numFmtId="165" fontId="0" fillId="0" borderId="38" xfId="2" applyNumberFormat="1" applyFont="1" applyBorder="1" applyAlignment="1">
      <alignment vertical="center"/>
    </xf>
    <xf numFmtId="165" fontId="0" fillId="0" borderId="35" xfId="2" applyNumberFormat="1" applyFont="1" applyBorder="1" applyAlignment="1">
      <alignment vertical="center"/>
    </xf>
    <xf numFmtId="49" fontId="0" fillId="0" borderId="38" xfId="0" applyNumberFormat="1" applyBorder="1" applyAlignment="1">
      <alignment vertical="center"/>
    </xf>
    <xf numFmtId="9" fontId="0" fillId="0" borderId="59" xfId="1" applyFont="1" applyBorder="1" applyAlignment="1">
      <alignment vertical="center"/>
    </xf>
    <xf numFmtId="9" fontId="0" fillId="12" borderId="10" xfId="1" applyFont="1" applyFill="1" applyBorder="1" applyAlignment="1">
      <alignment vertical="center"/>
    </xf>
    <xf numFmtId="0" fontId="0" fillId="0" borderId="0" xfId="0" applyAlignment="1">
      <alignment horizontal="left"/>
    </xf>
    <xf numFmtId="49" fontId="0" fillId="0" borderId="1" xfId="0" applyNumberFormat="1" applyBorder="1" applyAlignment="1">
      <alignment horizontal="center" vertical="center" wrapText="1"/>
    </xf>
    <xf numFmtId="0" fontId="0" fillId="0" borderId="11" xfId="0" applyBorder="1" applyAlignment="1">
      <alignment horizontal="center" vertical="center"/>
    </xf>
    <xf numFmtId="0" fontId="0" fillId="0" borderId="4" xfId="0" applyBorder="1" applyAlignment="1">
      <alignment horizontal="center"/>
    </xf>
    <xf numFmtId="0" fontId="0" fillId="0" borderId="8" xfId="0" applyBorder="1" applyAlignment="1">
      <alignment vertical="center"/>
    </xf>
    <xf numFmtId="0" fontId="4" fillId="12" borderId="14" xfId="0" applyFont="1" applyFill="1" applyBorder="1" applyAlignment="1">
      <alignment vertical="center"/>
    </xf>
    <xf numFmtId="0" fontId="4" fillId="12" borderId="13" xfId="0" applyFont="1" applyFill="1" applyBorder="1" applyAlignment="1">
      <alignment vertical="center"/>
    </xf>
    <xf numFmtId="165" fontId="6" fillId="11" borderId="34" xfId="0" applyNumberFormat="1" applyFont="1" applyFill="1" applyBorder="1" applyAlignment="1">
      <alignment vertical="center"/>
    </xf>
    <xf numFmtId="9" fontId="6" fillId="11" borderId="39" xfId="1" applyFont="1" applyFill="1" applyBorder="1" applyAlignment="1">
      <alignment vertical="center"/>
    </xf>
    <xf numFmtId="0" fontId="0" fillId="0" borderId="6" xfId="0" applyBorder="1" applyAlignment="1">
      <alignment horizontal="left" vertical="center"/>
    </xf>
    <xf numFmtId="0" fontId="0" fillId="0" borderId="3" xfId="0" applyBorder="1" applyAlignment="1">
      <alignment horizontal="center" vertical="center"/>
    </xf>
    <xf numFmtId="165" fontId="0" fillId="0" borderId="3" xfId="2" applyNumberFormat="1" applyFont="1" applyBorder="1" applyAlignment="1">
      <alignment vertical="center"/>
    </xf>
    <xf numFmtId="49" fontId="0" fillId="0" borderId="3" xfId="0" applyNumberFormat="1" applyBorder="1" applyAlignment="1">
      <alignment vertical="center"/>
    </xf>
    <xf numFmtId="9" fontId="0" fillId="0" borderId="7" xfId="1" applyFont="1" applyBorder="1" applyAlignment="1">
      <alignment vertical="center"/>
    </xf>
    <xf numFmtId="9" fontId="0" fillId="5" borderId="10" xfId="1" applyFont="1" applyFill="1" applyBorder="1" applyAlignment="1">
      <alignment vertical="center"/>
    </xf>
    <xf numFmtId="0" fontId="0" fillId="0" borderId="60" xfId="0" applyBorder="1" applyAlignment="1">
      <alignment horizontal="center" vertical="center"/>
    </xf>
    <xf numFmtId="0" fontId="0" fillId="0" borderId="35" xfId="0" applyBorder="1" applyAlignment="1">
      <alignment horizontal="center" vertical="center"/>
    </xf>
    <xf numFmtId="165" fontId="5" fillId="0" borderId="8" xfId="2" applyNumberFormat="1" applyFont="1" applyBorder="1" applyAlignment="1">
      <alignment vertical="center"/>
    </xf>
    <xf numFmtId="165" fontId="5" fillId="0" borderId="1" xfId="2" applyNumberFormat="1" applyFont="1" applyBorder="1" applyAlignment="1">
      <alignment vertical="center"/>
    </xf>
    <xf numFmtId="0" fontId="5" fillId="0" borderId="1" xfId="0" applyFont="1" applyBorder="1"/>
    <xf numFmtId="43" fontId="0" fillId="0" borderId="8" xfId="0" applyNumberFormat="1" applyBorder="1" applyAlignment="1">
      <alignment vertical="center"/>
    </xf>
    <xf numFmtId="0" fontId="2" fillId="10" borderId="4" xfId="0" applyFont="1" applyFill="1" applyBorder="1" applyAlignment="1">
      <alignment horizontal="center" vertical="center"/>
    </xf>
    <xf numFmtId="0" fontId="4" fillId="10" borderId="1" xfId="0" applyFont="1" applyFill="1" applyBorder="1" applyAlignment="1">
      <alignment horizontal="center" vertical="center"/>
    </xf>
    <xf numFmtId="0" fontId="4" fillId="10" borderId="5" xfId="0" applyFont="1" applyFill="1" applyBorder="1" applyAlignment="1">
      <alignment horizontal="center" vertical="center"/>
    </xf>
    <xf numFmtId="0" fontId="12" fillId="9" borderId="2" xfId="0" applyFont="1" applyFill="1" applyBorder="1" applyAlignment="1">
      <alignment horizontal="center"/>
    </xf>
    <xf numFmtId="0" fontId="7" fillId="10" borderId="2" xfId="0" applyFont="1" applyFill="1" applyBorder="1" applyAlignment="1">
      <alignment horizontal="center" vertical="center"/>
    </xf>
    <xf numFmtId="172" fontId="8" fillId="0" borderId="2" xfId="2" applyNumberFormat="1" applyFont="1" applyBorder="1" applyAlignment="1">
      <alignment vertical="center"/>
    </xf>
    <xf numFmtId="165" fontId="7" fillId="12" borderId="2" xfId="2" applyNumberFormat="1" applyFont="1" applyFill="1" applyBorder="1" applyAlignment="1">
      <alignment vertical="center"/>
    </xf>
    <xf numFmtId="165" fontId="2" fillId="5" borderId="8" xfId="0" applyNumberFormat="1" applyFont="1" applyFill="1" applyBorder="1" applyAlignment="1">
      <alignment vertical="center"/>
    </xf>
    <xf numFmtId="49" fontId="0" fillId="0" borderId="1" xfId="2" applyNumberFormat="1" applyFont="1" applyBorder="1" applyAlignment="1">
      <alignment vertical="center"/>
    </xf>
    <xf numFmtId="49" fontId="0" fillId="0" borderId="0" xfId="0" applyNumberFormat="1" applyAlignment="1">
      <alignment vertical="center"/>
    </xf>
    <xf numFmtId="43" fontId="2" fillId="5" borderId="34" xfId="0" applyNumberFormat="1" applyFont="1" applyFill="1" applyBorder="1" applyAlignment="1">
      <alignment vertical="center"/>
    </xf>
    <xf numFmtId="9" fontId="2" fillId="5" borderId="39" xfId="1" applyFont="1" applyFill="1" applyBorder="1" applyAlignment="1">
      <alignment vertical="center"/>
    </xf>
    <xf numFmtId="43" fontId="2" fillId="5" borderId="8" xfId="0" applyNumberFormat="1" applyFont="1" applyFill="1" applyBorder="1" applyAlignment="1">
      <alignment vertical="center"/>
    </xf>
    <xf numFmtId="49" fontId="2" fillId="5" borderId="8" xfId="2" applyNumberFormat="1" applyFont="1" applyFill="1" applyBorder="1" applyAlignment="1">
      <alignment horizontal="center" vertical="center"/>
    </xf>
    <xf numFmtId="49" fontId="0" fillId="0" borderId="35" xfId="0" applyNumberFormat="1" applyBorder="1" applyAlignment="1">
      <alignment vertical="center"/>
    </xf>
    <xf numFmtId="165" fontId="4" fillId="5" borderId="1" xfId="2" applyNumberFormat="1" applyFont="1" applyFill="1" applyBorder="1" applyAlignment="1">
      <alignment vertical="center"/>
    </xf>
    <xf numFmtId="0" fontId="22" fillId="0" borderId="0" xfId="0" applyFont="1"/>
    <xf numFmtId="165" fontId="22" fillId="0" borderId="1" xfId="2" applyNumberFormat="1" applyFont="1" applyBorder="1" applyAlignment="1">
      <alignment vertical="center"/>
    </xf>
    <xf numFmtId="165" fontId="12" fillId="0" borderId="1" xfId="2" applyNumberFormat="1" applyFont="1" applyBorder="1" applyAlignment="1">
      <alignment vertical="center"/>
    </xf>
    <xf numFmtId="165" fontId="22" fillId="0" borderId="8" xfId="2" applyNumberFormat="1" applyFont="1" applyBorder="1" applyAlignment="1">
      <alignment vertical="center"/>
    </xf>
    <xf numFmtId="165" fontId="22" fillId="0" borderId="3" xfId="2" applyNumberFormat="1" applyFont="1" applyBorder="1" applyAlignment="1">
      <alignment vertical="center"/>
    </xf>
    <xf numFmtId="165" fontId="22" fillId="0" borderId="0" xfId="2" applyNumberFormat="1" applyFont="1" applyAlignment="1">
      <alignment vertical="center"/>
    </xf>
    <xf numFmtId="165" fontId="12" fillId="0" borderId="0" xfId="2" applyNumberFormat="1" applyFont="1" applyAlignment="1">
      <alignment vertical="center"/>
    </xf>
    <xf numFmtId="165" fontId="22" fillId="0" borderId="2" xfId="2" applyNumberFormat="1" applyFont="1" applyBorder="1" applyAlignment="1">
      <alignment vertical="center"/>
    </xf>
    <xf numFmtId="165" fontId="12" fillId="0" borderId="2" xfId="2" applyNumberFormat="1" applyFont="1" applyBorder="1" applyAlignment="1">
      <alignment vertical="center"/>
    </xf>
    <xf numFmtId="0" fontId="7" fillId="10" borderId="5" xfId="0" applyFont="1" applyFill="1" applyBorder="1" applyAlignment="1">
      <alignment horizontal="center" vertical="center"/>
    </xf>
    <xf numFmtId="10" fontId="8" fillId="0" borderId="5" xfId="1" applyNumberFormat="1" applyFont="1" applyBorder="1" applyAlignment="1">
      <alignment vertical="center"/>
    </xf>
    <xf numFmtId="0" fontId="8" fillId="12" borderId="5" xfId="0" applyFont="1" applyFill="1" applyBorder="1"/>
    <xf numFmtId="165" fontId="0" fillId="0" borderId="10" xfId="2" applyNumberFormat="1" applyFont="1" applyBorder="1" applyAlignment="1">
      <alignment vertical="center"/>
    </xf>
    <xf numFmtId="165" fontId="0" fillId="0" borderId="5" xfId="2" applyNumberFormat="1" applyFont="1" applyBorder="1" applyAlignment="1">
      <alignment vertical="center"/>
    </xf>
    <xf numFmtId="0" fontId="0" fillId="0" borderId="5" xfId="0" applyBorder="1"/>
    <xf numFmtId="165" fontId="2" fillId="12" borderId="5" xfId="2" applyNumberFormat="1" applyFont="1" applyFill="1" applyBorder="1" applyAlignment="1">
      <alignment vertical="center"/>
    </xf>
    <xf numFmtId="165" fontId="6" fillId="11" borderId="5" xfId="0" applyNumberFormat="1" applyFont="1" applyFill="1" applyBorder="1" applyAlignment="1">
      <alignment vertical="center"/>
    </xf>
    <xf numFmtId="165" fontId="2" fillId="5" borderId="5" xfId="0" applyNumberFormat="1" applyFont="1" applyFill="1" applyBorder="1" applyAlignment="1">
      <alignment vertical="center"/>
    </xf>
    <xf numFmtId="165" fontId="2" fillId="5" borderId="10" xfId="2" applyNumberFormat="1" applyFont="1" applyFill="1" applyBorder="1" applyAlignment="1">
      <alignment vertical="center"/>
    </xf>
    <xf numFmtId="43" fontId="2" fillId="5" borderId="5" xfId="0" applyNumberFormat="1" applyFont="1" applyFill="1" applyBorder="1" applyAlignment="1">
      <alignment vertical="center"/>
    </xf>
    <xf numFmtId="165" fontId="2" fillId="5" borderId="5" xfId="2" applyNumberFormat="1" applyFont="1" applyFill="1" applyBorder="1" applyAlignment="1">
      <alignment vertical="center"/>
    </xf>
    <xf numFmtId="165" fontId="2" fillId="7" borderId="39" xfId="0" applyNumberFormat="1" applyFont="1" applyFill="1" applyBorder="1" applyAlignment="1">
      <alignment vertical="center"/>
    </xf>
    <xf numFmtId="165" fontId="0" fillId="0" borderId="59" xfId="2" applyNumberFormat="1" applyFont="1" applyBorder="1" applyAlignment="1">
      <alignment vertical="center"/>
    </xf>
    <xf numFmtId="165" fontId="6" fillId="11" borderId="39" xfId="0" applyNumberFormat="1" applyFont="1" applyFill="1" applyBorder="1" applyAlignment="1">
      <alignment vertical="center"/>
    </xf>
    <xf numFmtId="165" fontId="0" fillId="0" borderId="7" xfId="2" applyNumberFormat="1" applyFont="1" applyBorder="1" applyAlignment="1">
      <alignment vertical="center"/>
    </xf>
    <xf numFmtId="165" fontId="2" fillId="5" borderId="10" xfId="0" applyNumberFormat="1" applyFont="1" applyFill="1" applyBorder="1" applyAlignment="1">
      <alignment vertical="center"/>
    </xf>
    <xf numFmtId="43" fontId="2" fillId="5" borderId="10" xfId="0" applyNumberFormat="1" applyFont="1" applyFill="1" applyBorder="1" applyAlignment="1">
      <alignment vertical="center"/>
    </xf>
    <xf numFmtId="165" fontId="0" fillId="0" borderId="95" xfId="2" applyNumberFormat="1" applyFont="1" applyBorder="1" applyAlignment="1">
      <alignment vertical="center"/>
    </xf>
    <xf numFmtId="165" fontId="0" fillId="0" borderId="12" xfId="2" applyNumberFormat="1" applyFont="1" applyBorder="1" applyAlignment="1">
      <alignment vertical="center"/>
    </xf>
    <xf numFmtId="0" fontId="3" fillId="0" borderId="0" xfId="4" applyFont="1"/>
    <xf numFmtId="0" fontId="3" fillId="0" borderId="0" xfId="4" applyFont="1" applyAlignment="1">
      <alignment horizontal="center"/>
    </xf>
    <xf numFmtId="49" fontId="11" fillId="2" borderId="2" xfId="2" applyNumberFormat="1" applyFont="1" applyFill="1" applyBorder="1"/>
    <xf numFmtId="0" fontId="7" fillId="0" borderId="0" xfId="0" applyFont="1" applyAlignment="1">
      <alignment horizontal="center"/>
    </xf>
    <xf numFmtId="49" fontId="3" fillId="0" borderId="14" xfId="2" applyNumberFormat="1" applyFont="1" applyBorder="1"/>
    <xf numFmtId="49" fontId="25" fillId="0" borderId="9" xfId="2" applyNumberFormat="1" applyFont="1" applyBorder="1"/>
    <xf numFmtId="0" fontId="25" fillId="0" borderId="10" xfId="4" applyFont="1" applyBorder="1"/>
    <xf numFmtId="0" fontId="11" fillId="0" borderId="22" xfId="4" applyFont="1" applyBorder="1" applyAlignment="1">
      <alignment horizontal="center"/>
    </xf>
    <xf numFmtId="0" fontId="11" fillId="8" borderId="0" xfId="4" applyFont="1" applyFill="1" applyAlignment="1">
      <alignment horizontal="center"/>
    </xf>
    <xf numFmtId="0" fontId="3" fillId="0" borderId="25" xfId="4" applyFont="1" applyBorder="1" applyAlignment="1">
      <alignment horizontal="center"/>
    </xf>
    <xf numFmtId="0" fontId="7" fillId="0" borderId="22" xfId="0" applyFont="1" applyBorder="1" applyAlignment="1">
      <alignment horizontal="center"/>
    </xf>
    <xf numFmtId="0" fontId="11" fillId="0" borderId="0" xfId="4" applyFont="1" applyAlignment="1">
      <alignment horizontal="center"/>
    </xf>
    <xf numFmtId="0" fontId="3" fillId="8" borderId="0" xfId="4" applyFont="1" applyFill="1" applyAlignment="1">
      <alignment horizontal="center"/>
    </xf>
    <xf numFmtId="0" fontId="7" fillId="0" borderId="25" xfId="0" applyFont="1" applyBorder="1" applyAlignment="1">
      <alignment horizontal="center"/>
    </xf>
    <xf numFmtId="0" fontId="7" fillId="2" borderId="105" xfId="0" applyFont="1" applyFill="1" applyBorder="1" applyAlignment="1">
      <alignment horizontal="center"/>
    </xf>
    <xf numFmtId="0" fontId="7" fillId="2" borderId="15" xfId="0" applyFont="1" applyFill="1" applyBorder="1" applyAlignment="1">
      <alignment horizontal="center"/>
    </xf>
    <xf numFmtId="0" fontId="7" fillId="2" borderId="6" xfId="0" applyFont="1" applyFill="1" applyBorder="1" applyAlignment="1">
      <alignment horizontal="center"/>
    </xf>
    <xf numFmtId="0" fontId="11" fillId="8" borderId="106" xfId="4" applyFont="1" applyFill="1" applyBorder="1" applyAlignment="1">
      <alignment horizontal="center"/>
    </xf>
    <xf numFmtId="0" fontId="11" fillId="8" borderId="61" xfId="4" applyFont="1" applyFill="1" applyBorder="1" applyAlignment="1">
      <alignment horizontal="center"/>
    </xf>
    <xf numFmtId="0" fontId="7" fillId="0" borderId="107" xfId="0" applyFont="1" applyBorder="1" applyAlignment="1">
      <alignment horizontal="center"/>
    </xf>
    <xf numFmtId="17" fontId="25" fillId="0" borderId="0" xfId="6" applyNumberFormat="1" applyFont="1" applyAlignment="1">
      <alignment horizontal="center"/>
    </xf>
    <xf numFmtId="0" fontId="13" fillId="0" borderId="25" xfId="0" applyFont="1" applyBorder="1" applyAlignment="1">
      <alignment horizontal="center"/>
    </xf>
    <xf numFmtId="0" fontId="11" fillId="8" borderId="108" xfId="4" applyFont="1" applyFill="1" applyBorder="1" applyAlignment="1">
      <alignment horizontal="center"/>
    </xf>
    <xf numFmtId="0" fontId="3" fillId="0" borderId="61" xfId="4" applyFont="1" applyBorder="1" applyAlignment="1">
      <alignment horizontal="center"/>
    </xf>
    <xf numFmtId="49" fontId="3" fillId="0" borderId="13" xfId="2" applyNumberFormat="1" applyFont="1" applyBorder="1"/>
    <xf numFmtId="2" fontId="3" fillId="0" borderId="12" xfId="4" applyNumberFormat="1" applyFont="1" applyBorder="1"/>
    <xf numFmtId="165" fontId="3" fillId="8" borderId="62" xfId="4" applyNumberFormat="1" applyFont="1" applyFill="1" applyBorder="1" applyAlignment="1">
      <alignment horizontal="center"/>
    </xf>
    <xf numFmtId="43" fontId="3" fillId="8" borderId="62" xfId="2" applyFont="1" applyFill="1" applyBorder="1" applyAlignment="1">
      <alignment horizontal="center"/>
    </xf>
    <xf numFmtId="0" fontId="3" fillId="0" borderId="62" xfId="4" applyFont="1" applyBorder="1" applyAlignment="1">
      <alignment horizontal="center"/>
    </xf>
    <xf numFmtId="0" fontId="8" fillId="0" borderId="62" xfId="0" applyFont="1" applyBorder="1" applyAlignment="1">
      <alignment horizontal="center"/>
    </xf>
    <xf numFmtId="0" fontId="3" fillId="0" borderId="110" xfId="4" applyFont="1" applyBorder="1" applyAlignment="1">
      <alignment horizontal="center"/>
    </xf>
    <xf numFmtId="10" fontId="3" fillId="8" borderId="62" xfId="6" applyNumberFormat="1" applyFont="1" applyFill="1" applyBorder="1" applyAlignment="1">
      <alignment horizontal="center"/>
    </xf>
    <xf numFmtId="43" fontId="3" fillId="8" borderId="62" xfId="4" applyNumberFormat="1" applyFont="1" applyFill="1" applyBorder="1" applyAlignment="1">
      <alignment horizontal="center"/>
    </xf>
    <xf numFmtId="0" fontId="8" fillId="0" borderId="110" xfId="0" applyFont="1" applyBorder="1" applyAlignment="1">
      <alignment horizontal="center"/>
    </xf>
    <xf numFmtId="0" fontId="7" fillId="0" borderId="62" xfId="0" applyFont="1" applyBorder="1" applyAlignment="1">
      <alignment horizontal="center"/>
    </xf>
    <xf numFmtId="169" fontId="7" fillId="8" borderId="62" xfId="0" applyNumberFormat="1" applyFont="1" applyFill="1" applyBorder="1" applyAlignment="1">
      <alignment horizontal="center"/>
    </xf>
    <xf numFmtId="165" fontId="3" fillId="8" borderId="62" xfId="2" applyNumberFormat="1" applyFont="1" applyFill="1" applyBorder="1" applyAlignment="1">
      <alignment horizontal="center"/>
    </xf>
    <xf numFmtId="0" fontId="3" fillId="0" borderId="20" xfId="4" applyFont="1" applyBorder="1" applyAlignment="1">
      <alignment horizontal="center"/>
    </xf>
    <xf numFmtId="165" fontId="11" fillId="0" borderId="2" xfId="2" applyNumberFormat="1" applyFont="1" applyBorder="1" applyAlignment="1">
      <alignment horizontal="center"/>
    </xf>
    <xf numFmtId="165" fontId="3" fillId="0" borderId="2" xfId="0" applyNumberFormat="1" applyFont="1" applyBorder="1" applyAlignment="1">
      <alignment horizontal="center"/>
    </xf>
    <xf numFmtId="165" fontId="8" fillId="0" borderId="4" xfId="0" applyNumberFormat="1" applyFont="1" applyBorder="1" applyAlignment="1">
      <alignment horizontal="center"/>
    </xf>
    <xf numFmtId="10" fontId="11" fillId="0" borderId="111" xfId="6" applyNumberFormat="1" applyFont="1" applyBorder="1" applyAlignment="1">
      <alignment horizontal="center"/>
    </xf>
    <xf numFmtId="0" fontId="3" fillId="0" borderId="112" xfId="4" applyFont="1" applyBorder="1" applyAlignment="1">
      <alignment horizontal="center"/>
    </xf>
    <xf numFmtId="17" fontId="3" fillId="0" borderId="0" xfId="6" applyNumberFormat="1" applyFont="1" applyAlignment="1">
      <alignment horizontal="center"/>
    </xf>
    <xf numFmtId="0" fontId="3" fillId="0" borderId="62" xfId="4" applyFont="1" applyBorder="1"/>
    <xf numFmtId="165" fontId="3" fillId="0" borderId="62" xfId="4" applyNumberFormat="1" applyFont="1" applyBorder="1" applyAlignment="1">
      <alignment horizontal="center"/>
    </xf>
    <xf numFmtId="2" fontId="3" fillId="0" borderId="7" xfId="4" applyNumberFormat="1" applyFont="1" applyBorder="1"/>
    <xf numFmtId="0" fontId="3" fillId="0" borderId="22" xfId="4" applyFont="1" applyBorder="1"/>
    <xf numFmtId="0" fontId="3" fillId="0" borderId="25" xfId="4" applyFont="1" applyBorder="1"/>
    <xf numFmtId="43" fontId="3" fillId="0" borderId="0" xfId="2" applyFont="1"/>
    <xf numFmtId="0" fontId="7" fillId="0" borderId="0" xfId="0" applyFont="1"/>
    <xf numFmtId="0" fontId="3" fillId="0" borderId="20" xfId="4" applyFont="1" applyBorder="1"/>
    <xf numFmtId="165" fontId="11" fillId="0" borderId="2" xfId="2" applyNumberFormat="1" applyFont="1" applyBorder="1"/>
    <xf numFmtId="165" fontId="8" fillId="0" borderId="2" xfId="0" applyNumberFormat="1" applyFont="1" applyBorder="1" applyAlignment="1">
      <alignment horizontal="center"/>
    </xf>
    <xf numFmtId="17" fontId="3" fillId="0" borderId="16" xfId="6" applyNumberFormat="1" applyFont="1" applyBorder="1"/>
    <xf numFmtId="165" fontId="11" fillId="0" borderId="0" xfId="4" applyNumberFormat="1" applyFont="1"/>
    <xf numFmtId="0" fontId="12" fillId="23" borderId="20" xfId="4" applyFont="1" applyFill="1" applyBorder="1"/>
    <xf numFmtId="171" fontId="12" fillId="23" borderId="2" xfId="6" applyNumberFormat="1" applyFont="1" applyFill="1" applyBorder="1"/>
    <xf numFmtId="0" fontId="8" fillId="0" borderId="25" xfId="0" applyFont="1" applyBorder="1"/>
    <xf numFmtId="49" fontId="3" fillId="0" borderId="9" xfId="4" applyNumberFormat="1" applyFont="1" applyBorder="1"/>
    <xf numFmtId="10" fontId="3" fillId="0" borderId="10" xfId="1" applyNumberFormat="1" applyFont="1" applyBorder="1"/>
    <xf numFmtId="0" fontId="3" fillId="0" borderId="29" xfId="4" applyFont="1" applyBorder="1"/>
    <xf numFmtId="0" fontId="8" fillId="0" borderId="3" xfId="0" applyFont="1" applyBorder="1"/>
    <xf numFmtId="0" fontId="3" fillId="0" borderId="28" xfId="4" applyFont="1" applyBorder="1"/>
    <xf numFmtId="171" fontId="3" fillId="0" borderId="2" xfId="0" applyNumberFormat="1" applyFont="1" applyBorder="1"/>
    <xf numFmtId="0" fontId="3" fillId="0" borderId="3" xfId="4" applyFont="1" applyBorder="1"/>
    <xf numFmtId="0" fontId="8" fillId="0" borderId="28" xfId="0" applyFont="1" applyBorder="1"/>
    <xf numFmtId="169" fontId="3" fillId="0" borderId="2" xfId="0" applyNumberFormat="1" applyFont="1" applyBorder="1"/>
    <xf numFmtId="165" fontId="11" fillId="2" borderId="2" xfId="4" applyNumberFormat="1" applyFont="1" applyFill="1" applyBorder="1"/>
    <xf numFmtId="165" fontId="7" fillId="2" borderId="2" xfId="0" applyNumberFormat="1" applyFont="1" applyFill="1" applyBorder="1" applyAlignment="1">
      <alignment horizontal="center"/>
    </xf>
    <xf numFmtId="49" fontId="3" fillId="0" borderId="6" xfId="2" applyNumberFormat="1" applyFont="1" applyBorder="1"/>
    <xf numFmtId="10" fontId="3" fillId="0" borderId="7" xfId="1" applyNumberFormat="1" applyFont="1" applyBorder="1"/>
    <xf numFmtId="0" fontId="11" fillId="2" borderId="24" xfId="4" applyFont="1" applyFill="1" applyBorder="1" applyAlignment="1">
      <alignment horizontal="center" vertical="center"/>
    </xf>
    <xf numFmtId="0" fontId="11" fillId="2" borderId="1" xfId="4" applyFont="1" applyFill="1" applyBorder="1" applyAlignment="1">
      <alignment horizontal="center" vertical="center"/>
    </xf>
    <xf numFmtId="10" fontId="11" fillId="2" borderId="1" xfId="6" applyNumberFormat="1" applyFont="1" applyFill="1" applyBorder="1" applyAlignment="1">
      <alignment horizontal="center" vertical="center"/>
    </xf>
    <xf numFmtId="0" fontId="11" fillId="2" borderId="21" xfId="4" applyFont="1" applyFill="1" applyBorder="1" applyAlignment="1">
      <alignment horizontal="center" vertical="center"/>
    </xf>
    <xf numFmtId="10" fontId="12" fillId="24" borderId="113" xfId="6" applyNumberFormat="1" applyFont="1" applyFill="1" applyBorder="1" applyAlignment="1">
      <alignment horizontal="center" vertical="center"/>
    </xf>
    <xf numFmtId="0" fontId="3" fillId="0" borderId="8" xfId="4" applyFont="1" applyBorder="1"/>
    <xf numFmtId="43" fontId="3" fillId="0" borderId="8" xfId="2" applyFont="1" applyBorder="1"/>
    <xf numFmtId="165" fontId="3" fillId="0" borderId="41" xfId="2" applyNumberFormat="1" applyFont="1" applyBorder="1"/>
    <xf numFmtId="17" fontId="3" fillId="0" borderId="31" xfId="4" applyNumberFormat="1" applyFont="1" applyBorder="1"/>
    <xf numFmtId="0" fontId="3" fillId="0" borderId="31" xfId="4" applyFont="1" applyBorder="1"/>
    <xf numFmtId="17" fontId="3" fillId="0" borderId="8" xfId="4" applyNumberFormat="1" applyFont="1" applyBorder="1"/>
    <xf numFmtId="0" fontId="3" fillId="0" borderId="8" xfId="4" applyFont="1" applyBorder="1" applyAlignment="1">
      <alignment horizontal="center"/>
    </xf>
    <xf numFmtId="43" fontId="11" fillId="25" borderId="117" xfId="2" applyFont="1" applyFill="1" applyBorder="1"/>
    <xf numFmtId="0" fontId="7" fillId="2" borderId="119" xfId="0" applyFont="1" applyFill="1" applyBorder="1" applyAlignment="1">
      <alignment horizontal="center"/>
    </xf>
    <xf numFmtId="0" fontId="7" fillId="2" borderId="120" xfId="0" applyFont="1" applyFill="1" applyBorder="1" applyAlignment="1">
      <alignment horizontal="center"/>
    </xf>
    <xf numFmtId="0" fontId="11" fillId="0" borderId="6" xfId="4" applyFont="1" applyBorder="1"/>
    <xf numFmtId="165" fontId="11" fillId="0" borderId="7" xfId="2" applyNumberFormat="1" applyFont="1" applyBorder="1"/>
    <xf numFmtId="0" fontId="3" fillId="0" borderId="22" xfId="2" applyNumberFormat="1" applyFont="1" applyBorder="1" applyAlignment="1">
      <alignment vertical="center"/>
    </xf>
    <xf numFmtId="17" fontId="3" fillId="0" borderId="0" xfId="4" applyNumberFormat="1" applyFont="1"/>
    <xf numFmtId="165" fontId="3" fillId="0" borderId="25" xfId="2" applyNumberFormat="1" applyFont="1" applyBorder="1"/>
    <xf numFmtId="17" fontId="3" fillId="0" borderId="22" xfId="4" applyNumberFormat="1" applyFont="1" applyBorder="1"/>
    <xf numFmtId="17" fontId="3" fillId="0" borderId="121" xfId="6" applyNumberFormat="1" applyFont="1" applyBorder="1"/>
    <xf numFmtId="165" fontId="3" fillId="0" borderId="122" xfId="2" applyNumberFormat="1" applyFont="1" applyBorder="1"/>
    <xf numFmtId="165" fontId="3" fillId="8" borderId="123" xfId="2" applyNumberFormat="1" applyFont="1" applyFill="1" applyBorder="1"/>
    <xf numFmtId="0" fontId="3" fillId="0" borderId="4" xfId="4" applyFont="1" applyBorder="1"/>
    <xf numFmtId="0" fontId="3" fillId="0" borderId="5" xfId="4" applyFont="1" applyBorder="1"/>
    <xf numFmtId="0" fontId="3" fillId="0" borderId="31" xfId="4" applyFont="1" applyBorder="1" applyAlignment="1">
      <alignment horizontal="center" vertical="center"/>
    </xf>
    <xf numFmtId="165" fontId="3" fillId="0" borderId="40" xfId="2" applyNumberFormat="1" applyFont="1" applyBorder="1"/>
    <xf numFmtId="17" fontId="3" fillId="0" borderId="124" xfId="6" applyNumberFormat="1" applyFont="1" applyBorder="1"/>
    <xf numFmtId="165" fontId="3" fillId="8" borderId="125" xfId="2" applyNumberFormat="1" applyFont="1" applyFill="1" applyBorder="1"/>
    <xf numFmtId="0" fontId="3" fillId="0" borderId="22" xfId="4" applyFont="1" applyBorder="1" applyAlignment="1">
      <alignment horizontal="center" vertical="center"/>
    </xf>
    <xf numFmtId="165" fontId="3" fillId="0" borderId="18" xfId="2" applyNumberFormat="1" applyFont="1" applyBorder="1"/>
    <xf numFmtId="165" fontId="3" fillId="0" borderId="5" xfId="2" applyNumberFormat="1" applyFont="1" applyBorder="1"/>
    <xf numFmtId="49" fontId="3" fillId="0" borderId="15" xfId="2" applyNumberFormat="1" applyFont="1" applyBorder="1"/>
    <xf numFmtId="17" fontId="3" fillId="0" borderId="17" xfId="6" applyNumberFormat="1" applyFont="1" applyBorder="1"/>
    <xf numFmtId="49" fontId="3" fillId="0" borderId="0" xfId="2" applyNumberFormat="1" applyFont="1"/>
    <xf numFmtId="0" fontId="3" fillId="0" borderId="0" xfId="4" applyFont="1" applyAlignment="1">
      <alignment horizontal="center" vertical="center" wrapText="1"/>
    </xf>
    <xf numFmtId="17" fontId="3" fillId="0" borderId="29" xfId="4" applyNumberFormat="1" applyFont="1" applyBorder="1"/>
    <xf numFmtId="43" fontId="3" fillId="0" borderId="3" xfId="2" applyFont="1" applyBorder="1"/>
    <xf numFmtId="165" fontId="11" fillId="2" borderId="27" xfId="4" applyNumberFormat="1" applyFont="1" applyFill="1" applyBorder="1"/>
    <xf numFmtId="0" fontId="3" fillId="2" borderId="26" xfId="4" applyFont="1" applyFill="1" applyBorder="1"/>
    <xf numFmtId="0" fontId="3" fillId="2" borderId="27" xfId="4" applyFont="1" applyFill="1" applyBorder="1"/>
    <xf numFmtId="165" fontId="11" fillId="2" borderId="26" xfId="4" applyNumberFormat="1" applyFont="1" applyFill="1" applyBorder="1"/>
    <xf numFmtId="43" fontId="3" fillId="0" borderId="0" xfId="4" applyNumberFormat="1" applyFont="1"/>
    <xf numFmtId="165" fontId="3" fillId="0" borderId="19" xfId="2" applyNumberFormat="1" applyFont="1" applyBorder="1"/>
    <xf numFmtId="0" fontId="3" fillId="2" borderId="23" xfId="4" applyFont="1" applyFill="1" applyBorder="1"/>
    <xf numFmtId="43" fontId="3" fillId="8" borderId="12" xfId="2" applyFont="1" applyFill="1" applyBorder="1"/>
    <xf numFmtId="165" fontId="3" fillId="8" borderId="12" xfId="2" applyNumberFormat="1" applyFont="1" applyFill="1" applyBorder="1"/>
    <xf numFmtId="0" fontId="0" fillId="0" borderId="0" xfId="0" applyAlignment="1">
      <alignment horizontal="right" vertical="center" wrapText="1" readingOrder="2"/>
    </xf>
    <xf numFmtId="9" fontId="0" fillId="0" borderId="0" xfId="1" applyFont="1" applyAlignment="1">
      <alignment horizontal="center" vertical="center" wrapText="1" readingOrder="2"/>
    </xf>
    <xf numFmtId="9" fontId="0" fillId="0" borderId="0" xfId="1" applyFont="1" applyAlignment="1">
      <alignment horizontal="center" vertical="center" readingOrder="2"/>
    </xf>
    <xf numFmtId="0" fontId="2" fillId="0" borderId="0" xfId="0" applyFont="1" applyAlignment="1">
      <alignment horizontal="right" vertical="center" readingOrder="2"/>
    </xf>
    <xf numFmtId="0" fontId="2" fillId="0" borderId="130" xfId="0" applyFont="1" applyBorder="1" applyAlignment="1">
      <alignment horizontal="right" vertical="center" readingOrder="2"/>
    </xf>
    <xf numFmtId="0" fontId="2" fillId="0" borderId="97" xfId="0" applyFont="1" applyBorder="1" applyAlignment="1">
      <alignment horizontal="center" vertical="center" readingOrder="2"/>
    </xf>
    <xf numFmtId="0" fontId="2" fillId="0" borderId="131" xfId="0" applyFont="1" applyBorder="1" applyAlignment="1">
      <alignment horizontal="center" vertical="center" readingOrder="2"/>
    </xf>
    <xf numFmtId="0" fontId="0" fillId="0" borderId="130" xfId="0" applyBorder="1" applyAlignment="1">
      <alignment horizontal="right" vertical="center" wrapText="1" readingOrder="2"/>
    </xf>
    <xf numFmtId="0" fontId="0" fillId="0" borderId="97" xfId="0" applyBorder="1" applyAlignment="1">
      <alignment horizontal="center" vertical="center" wrapText="1" readingOrder="2"/>
    </xf>
    <xf numFmtId="164" fontId="0" fillId="0" borderId="131" xfId="1" applyNumberFormat="1" applyFont="1" applyBorder="1" applyAlignment="1">
      <alignment horizontal="center" vertical="center" wrapText="1" readingOrder="2"/>
    </xf>
    <xf numFmtId="1" fontId="0" fillId="0" borderId="97" xfId="0" applyNumberFormat="1" applyBorder="1" applyAlignment="1">
      <alignment horizontal="center" vertical="center" wrapText="1" readingOrder="2"/>
    </xf>
    <xf numFmtId="37" fontId="0" fillId="0" borderId="97" xfId="0" applyNumberFormat="1" applyBorder="1" applyAlignment="1">
      <alignment horizontal="center" vertical="center" wrapText="1" readingOrder="2"/>
    </xf>
    <xf numFmtId="9" fontId="0" fillId="0" borderId="97" xfId="0" applyNumberFormat="1" applyBorder="1" applyAlignment="1">
      <alignment horizontal="center" vertical="center" wrapText="1" readingOrder="2"/>
    </xf>
    <xf numFmtId="10" fontId="0" fillId="0" borderId="97" xfId="0" applyNumberFormat="1" applyBorder="1" applyAlignment="1">
      <alignment horizontal="center" vertical="center" wrapText="1" readingOrder="2"/>
    </xf>
    <xf numFmtId="9" fontId="2" fillId="0" borderId="131" xfId="0" applyNumberFormat="1" applyFont="1" applyBorder="1" applyAlignment="1">
      <alignment horizontal="center" vertical="center" readingOrder="2"/>
    </xf>
    <xf numFmtId="9" fontId="27" fillId="0" borderId="131" xfId="0" applyNumberFormat="1" applyFont="1" applyBorder="1" applyAlignment="1">
      <alignment horizontal="center" vertical="center" readingOrder="2"/>
    </xf>
    <xf numFmtId="9" fontId="27" fillId="0" borderId="131" xfId="0" applyNumberFormat="1" applyFont="1" applyBorder="1" applyAlignment="1">
      <alignment horizontal="center" vertical="center"/>
    </xf>
    <xf numFmtId="0" fontId="2" fillId="2" borderId="97" xfId="0" applyFont="1" applyFill="1" applyBorder="1" applyAlignment="1">
      <alignment horizontal="center" vertical="center" readingOrder="2"/>
    </xf>
    <xf numFmtId="0" fontId="0" fillId="2" borderId="97" xfId="0" applyFill="1" applyBorder="1" applyAlignment="1">
      <alignment horizontal="center" vertical="center" wrapText="1" readingOrder="2"/>
    </xf>
    <xf numFmtId="164" fontId="0" fillId="2" borderId="97" xfId="1" applyNumberFormat="1" applyFont="1" applyFill="1" applyBorder="1" applyAlignment="1">
      <alignment horizontal="center" vertical="center" wrapText="1" readingOrder="2"/>
    </xf>
    <xf numFmtId="1" fontId="0" fillId="2" borderId="97" xfId="0" applyNumberFormat="1" applyFill="1" applyBorder="1" applyAlignment="1">
      <alignment horizontal="center" vertical="center" wrapText="1" readingOrder="2"/>
    </xf>
    <xf numFmtId="9" fontId="26" fillId="0" borderId="134" xfId="0" applyNumberFormat="1" applyFont="1" applyBorder="1" applyAlignment="1">
      <alignment horizontal="center" vertical="center" readingOrder="1"/>
    </xf>
    <xf numFmtId="0" fontId="0" fillId="2" borderId="97" xfId="0" applyFill="1" applyBorder="1" applyAlignment="1">
      <alignment horizontal="right" vertical="center" wrapText="1" readingOrder="2"/>
    </xf>
    <xf numFmtId="0" fontId="0" fillId="2" borderId="97" xfId="0" applyFill="1" applyBorder="1" applyAlignment="1">
      <alignment horizontal="right" vertical="center" readingOrder="2"/>
    </xf>
    <xf numFmtId="164" fontId="2" fillId="2" borderId="97" xfId="1" applyNumberFormat="1" applyFont="1" applyFill="1" applyBorder="1" applyAlignment="1">
      <alignment horizontal="center" vertical="center" wrapText="1" readingOrder="2"/>
    </xf>
    <xf numFmtId="0" fontId="30" fillId="2" borderId="133" xfId="0" applyFont="1" applyFill="1" applyBorder="1" applyAlignment="1">
      <alignment horizontal="center" vertical="center" readingOrder="2"/>
    </xf>
    <xf numFmtId="0" fontId="30" fillId="2" borderId="133" xfId="0" applyFont="1" applyFill="1" applyBorder="1" applyAlignment="1">
      <alignment horizontal="right" vertical="center" readingOrder="2"/>
    </xf>
    <xf numFmtId="164" fontId="30" fillId="2" borderId="133" xfId="1" applyNumberFormat="1" applyFont="1" applyFill="1" applyBorder="1" applyAlignment="1">
      <alignment horizontal="center" vertical="center" wrapText="1" readingOrder="2"/>
    </xf>
    <xf numFmtId="2" fontId="0" fillId="0" borderId="2" xfId="0" applyNumberFormat="1" applyBorder="1"/>
    <xf numFmtId="165" fontId="0" fillId="0" borderId="85" xfId="0" applyNumberFormat="1" applyBorder="1" applyAlignment="1">
      <alignment horizontal="right" vertical="center" readingOrder="1"/>
    </xf>
    <xf numFmtId="0" fontId="5" fillId="0" borderId="12" xfId="0" applyFont="1" applyBorder="1" applyAlignment="1">
      <alignment horizontal="right"/>
    </xf>
    <xf numFmtId="0" fontId="5" fillId="0" borderId="7" xfId="0" applyFont="1" applyBorder="1" applyAlignment="1">
      <alignment horizontal="right"/>
    </xf>
    <xf numFmtId="0" fontId="0" fillId="0" borderId="14" xfId="0" applyBorder="1" applyAlignment="1">
      <alignment wrapText="1"/>
    </xf>
    <xf numFmtId="0" fontId="0" fillId="0" borderId="13" xfId="0" applyBorder="1" applyAlignment="1">
      <alignment wrapText="1"/>
    </xf>
    <xf numFmtId="0" fontId="0" fillId="0" borderId="15" xfId="0" applyBorder="1" applyAlignment="1">
      <alignment wrapText="1"/>
    </xf>
    <xf numFmtId="0" fontId="32" fillId="0" borderId="0" xfId="0" applyFont="1" applyAlignment="1">
      <alignment horizontal="right" vertical="center" readingOrder="2"/>
    </xf>
    <xf numFmtId="0" fontId="33" fillId="0" borderId="0" xfId="0" applyFont="1" applyAlignment="1">
      <alignment horizontal="right" vertical="center" readingOrder="2"/>
    </xf>
    <xf numFmtId="0" fontId="34" fillId="0" borderId="0" xfId="0" applyFont="1" applyAlignment="1">
      <alignment horizontal="right" vertical="center" readingOrder="2"/>
    </xf>
    <xf numFmtId="10" fontId="0" fillId="0" borderId="0" xfId="0" applyNumberFormat="1" applyAlignment="1">
      <alignment horizontal="right" vertical="center" readingOrder="2"/>
    </xf>
    <xf numFmtId="0" fontId="2" fillId="0" borderId="8" xfId="0" applyFont="1" applyBorder="1" applyAlignment="1">
      <alignment horizontal="right" vertical="center" readingOrder="2"/>
    </xf>
    <xf numFmtId="0" fontId="0" fillId="0" borderId="8" xfId="0" applyBorder="1" applyAlignment="1">
      <alignment horizontal="right" vertical="center" readingOrder="2"/>
    </xf>
    <xf numFmtId="0" fontId="35" fillId="0" borderId="0" xfId="0" applyFont="1" applyAlignment="1">
      <alignment horizontal="right" vertical="center" readingOrder="2"/>
    </xf>
    <xf numFmtId="0" fontId="36" fillId="0" borderId="0" xfId="0" applyFont="1" applyAlignment="1">
      <alignment horizontal="right" vertical="center" readingOrder="2"/>
    </xf>
    <xf numFmtId="0" fontId="0" fillId="0" borderId="136" xfId="0" applyBorder="1" applyAlignment="1">
      <alignment vertical="center" readingOrder="2"/>
    </xf>
    <xf numFmtId="0" fontId="0" fillId="0" borderId="12" xfId="0" applyBorder="1" applyAlignment="1">
      <alignment wrapText="1"/>
    </xf>
    <xf numFmtId="0" fontId="0" fillId="0" borderId="0" xfId="0" applyAlignment="1">
      <alignment wrapText="1"/>
    </xf>
    <xf numFmtId="0" fontId="30" fillId="0" borderId="126" xfId="0" applyFont="1" applyBorder="1" applyAlignment="1">
      <alignment vertical="center" wrapText="1" readingOrder="2"/>
    </xf>
    <xf numFmtId="0" fontId="0" fillId="0" borderId="13" xfId="0" applyBorder="1" applyAlignment="1">
      <alignment vertical="center" readingOrder="2"/>
    </xf>
    <xf numFmtId="0" fontId="0" fillId="22" borderId="92" xfId="0" applyFill="1" applyBorder="1" applyAlignment="1">
      <alignment vertical="center" wrapText="1"/>
    </xf>
    <xf numFmtId="167" fontId="0" fillId="0" borderId="0" xfId="0" applyNumberFormat="1" applyAlignment="1">
      <alignment horizontal="center" vertical="center" wrapText="1"/>
    </xf>
    <xf numFmtId="0" fontId="0" fillId="0" borderId="14" xfId="0" applyBorder="1" applyAlignment="1">
      <alignment vertical="center" readingOrder="2"/>
    </xf>
    <xf numFmtId="0" fontId="0" fillId="0" borderId="0" xfId="1" applyNumberFormat="1" applyFont="1"/>
    <xf numFmtId="10" fontId="0" fillId="6" borderId="0" xfId="1" applyNumberFormat="1" applyFont="1" applyFill="1"/>
    <xf numFmtId="0" fontId="40" fillId="0" borderId="0" xfId="0" applyFont="1" applyAlignment="1">
      <alignment vertical="center"/>
    </xf>
    <xf numFmtId="0" fontId="41" fillId="8" borderId="1" xfId="0" applyFont="1" applyFill="1" applyBorder="1" applyAlignment="1">
      <alignment horizontal="center" vertical="center"/>
    </xf>
    <xf numFmtId="175" fontId="41" fillId="8" borderId="2" xfId="7" applyNumberFormat="1" applyFont="1" applyFill="1" applyBorder="1" applyAlignment="1">
      <alignment vertical="center"/>
    </xf>
    <xf numFmtId="0" fontId="41" fillId="0" borderId="0" xfId="0" applyFont="1" applyAlignment="1">
      <alignment vertical="center"/>
    </xf>
    <xf numFmtId="0" fontId="41" fillId="8" borderId="0" xfId="0" applyFont="1" applyFill="1" applyAlignment="1">
      <alignment vertical="center"/>
    </xf>
    <xf numFmtId="0" fontId="41" fillId="8" borderId="0" xfId="0" applyFont="1" applyFill="1" applyAlignment="1">
      <alignment horizontal="center" vertical="center"/>
    </xf>
    <xf numFmtId="175" fontId="41" fillId="8" borderId="0" xfId="7" applyNumberFormat="1" applyFont="1" applyFill="1" applyAlignment="1">
      <alignment vertical="center"/>
    </xf>
    <xf numFmtId="0" fontId="41" fillId="8" borderId="4" xfId="0" applyFont="1" applyFill="1" applyBorder="1" applyAlignment="1">
      <alignment horizontal="center" vertical="center"/>
    </xf>
    <xf numFmtId="0" fontId="41" fillId="8" borderId="5" xfId="0" applyFont="1" applyFill="1" applyBorder="1" applyAlignment="1">
      <alignment horizontal="center" vertical="center"/>
    </xf>
    <xf numFmtId="0" fontId="41" fillId="0" borderId="0" xfId="0" applyFont="1" applyAlignment="1">
      <alignment horizontal="center" vertical="center"/>
    </xf>
    <xf numFmtId="0" fontId="41" fillId="8" borderId="2" xfId="0" applyFont="1" applyFill="1" applyBorder="1" applyAlignment="1">
      <alignment horizontal="center" vertical="center"/>
    </xf>
    <xf numFmtId="173" fontId="2" fillId="8" borderId="2" xfId="7" applyNumberFormat="1" applyFont="1" applyFill="1" applyBorder="1" applyAlignment="1">
      <alignment vertical="center"/>
    </xf>
    <xf numFmtId="0" fontId="2" fillId="0" borderId="85" xfId="0" applyFont="1" applyBorder="1" applyAlignment="1">
      <alignment horizontal="right" vertical="center"/>
    </xf>
    <xf numFmtId="0" fontId="0" fillId="8" borderId="2" xfId="0" quotePrefix="1" applyFill="1" applyBorder="1" applyAlignment="1">
      <alignment horizontal="right" vertical="center"/>
    </xf>
    <xf numFmtId="0" fontId="43" fillId="0" borderId="0" xfId="0" applyFont="1" applyAlignment="1">
      <alignment vertical="center"/>
    </xf>
    <xf numFmtId="0" fontId="0" fillId="0" borderId="77" xfId="0" applyBorder="1" applyAlignment="1">
      <alignment horizontal="left" vertical="center" wrapText="1"/>
    </xf>
    <xf numFmtId="0" fontId="0" fillId="0" borderId="10" xfId="0" applyBorder="1" applyAlignment="1">
      <alignment vertical="center"/>
    </xf>
    <xf numFmtId="0" fontId="0" fillId="0" borderId="11" xfId="0" applyBorder="1" applyAlignment="1">
      <alignment vertical="center"/>
    </xf>
    <xf numFmtId="0" fontId="0" fillId="0" borderId="12"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0" fillId="0" borderId="10"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14" fontId="8" fillId="0" borderId="109" xfId="0" applyNumberFormat="1" applyFont="1" applyBorder="1" applyAlignment="1">
      <alignment horizontal="center"/>
    </xf>
    <xf numFmtId="14" fontId="8" fillId="0" borderId="62" xfId="0" applyNumberFormat="1" applyFont="1" applyBorder="1" applyAlignment="1">
      <alignment horizontal="center"/>
    </xf>
    <xf numFmtId="165" fontId="0" fillId="0" borderId="96" xfId="0" applyNumberFormat="1" applyBorder="1" applyAlignment="1">
      <alignment horizontal="right" vertical="center"/>
    </xf>
    <xf numFmtId="0" fontId="0" fillId="0" borderId="0" xfId="0" applyAlignment="1">
      <alignment horizontal="right" vertical="center"/>
    </xf>
    <xf numFmtId="165" fontId="0" fillId="0" borderId="0" xfId="0" applyNumberFormat="1" applyAlignment="1">
      <alignment horizontal="right" vertical="center"/>
    </xf>
    <xf numFmtId="9" fontId="0" fillId="0" borderId="0" xfId="1" applyFont="1" applyAlignment="1">
      <alignment horizontal="right" vertical="center"/>
    </xf>
    <xf numFmtId="0" fontId="2" fillId="0" borderId="0" xfId="0" applyFont="1" applyAlignment="1">
      <alignment horizontal="right" vertical="center"/>
    </xf>
    <xf numFmtId="0" fontId="26" fillId="0" borderId="78" xfId="0" applyFont="1" applyBorder="1" applyAlignment="1">
      <alignment horizontal="right" vertical="center" wrapText="1"/>
    </xf>
    <xf numFmtId="0" fontId="28" fillId="0" borderId="0" xfId="0" applyFont="1" applyAlignment="1">
      <alignment horizontal="center" vertical="center"/>
    </xf>
    <xf numFmtId="0" fontId="20" fillId="0" borderId="78" xfId="0" applyFont="1" applyBorder="1" applyAlignment="1">
      <alignment horizontal="right" vertical="center" wrapText="1"/>
    </xf>
    <xf numFmtId="0" fontId="0" fillId="0" borderId="78" xfId="0" applyBorder="1" applyAlignment="1">
      <alignment horizontal="right" vertical="center" wrapText="1"/>
    </xf>
    <xf numFmtId="0" fontId="20" fillId="8" borderId="78" xfId="0" applyFont="1" applyFill="1" applyBorder="1" applyAlignment="1">
      <alignment horizontal="right" vertical="center" wrapText="1"/>
    </xf>
    <xf numFmtId="0" fontId="4" fillId="0" borderId="0" xfId="0" applyFont="1" applyAlignment="1">
      <alignment horizontal="right" vertical="center"/>
    </xf>
    <xf numFmtId="0" fontId="20" fillId="8" borderId="97" xfId="0" applyFont="1" applyFill="1" applyBorder="1" applyAlignment="1">
      <alignment horizontal="right" vertical="center" wrapText="1"/>
    </xf>
    <xf numFmtId="0" fontId="20" fillId="8" borderId="97" xfId="0" applyFont="1" applyFill="1" applyBorder="1" applyAlignment="1">
      <alignment horizontal="right" vertical="center"/>
    </xf>
    <xf numFmtId="0" fontId="20" fillId="0" borderId="97" xfId="0" applyFont="1" applyBorder="1" applyAlignment="1">
      <alignment horizontal="right" vertical="center"/>
    </xf>
    <xf numFmtId="168" fontId="0" fillId="0" borderId="0" xfId="0" applyNumberFormat="1" applyAlignment="1">
      <alignment horizontal="right" vertical="center"/>
    </xf>
    <xf numFmtId="165" fontId="0" fillId="0" borderId="97" xfId="0" applyNumberFormat="1" applyBorder="1" applyAlignment="1">
      <alignment horizontal="right" vertical="center"/>
    </xf>
    <xf numFmtId="14" fontId="0" fillId="0" borderId="0" xfId="0" applyNumberFormat="1" applyAlignment="1">
      <alignment horizontal="right" vertical="center"/>
    </xf>
    <xf numFmtId="0" fontId="2" fillId="2" borderId="0" xfId="0" applyFont="1" applyFill="1" applyAlignment="1">
      <alignment horizontal="right" vertical="center" wrapText="1"/>
    </xf>
    <xf numFmtId="0" fontId="0" fillId="0" borderId="0" xfId="0" applyAlignment="1">
      <alignment horizontal="right" vertical="center" wrapText="1"/>
    </xf>
    <xf numFmtId="165" fontId="2" fillId="2" borderId="0" xfId="0" applyNumberFormat="1" applyFont="1" applyFill="1" applyAlignment="1">
      <alignment horizontal="right" vertical="center"/>
    </xf>
    <xf numFmtId="0" fontId="2" fillId="2" borderId="99" xfId="0" applyFont="1" applyFill="1" applyBorder="1" applyAlignment="1">
      <alignment horizontal="right" vertical="center" wrapText="1"/>
    </xf>
    <xf numFmtId="9" fontId="2" fillId="2" borderId="99" xfId="1" applyFont="1" applyFill="1" applyBorder="1" applyAlignment="1">
      <alignment horizontal="right" vertical="center"/>
    </xf>
    <xf numFmtId="0" fontId="0" fillId="0" borderId="0" xfId="0" applyAlignment="1">
      <alignment horizontal="center" vertical="center" wrapText="1"/>
    </xf>
    <xf numFmtId="0" fontId="2" fillId="0" borderId="96" xfId="0" applyFont="1" applyBorder="1" applyAlignment="1">
      <alignment horizontal="right" vertical="center" wrapText="1"/>
    </xf>
    <xf numFmtId="9" fontId="0" fillId="0" borderId="0" xfId="0" applyNumberFormat="1" applyAlignment="1">
      <alignment horizontal="right" vertical="center"/>
    </xf>
    <xf numFmtId="0" fontId="0" fillId="0" borderId="138" xfId="0" applyBorder="1" applyAlignment="1">
      <alignment horizontal="right" vertical="center" wrapText="1"/>
    </xf>
    <xf numFmtId="0" fontId="2" fillId="0" borderId="97" xfId="0" applyFont="1" applyBorder="1" applyAlignment="1">
      <alignment horizontal="right" vertical="center" wrapText="1"/>
    </xf>
    <xf numFmtId="165" fontId="0" fillId="0" borderId="78" xfId="0" applyNumberFormat="1" applyBorder="1" applyAlignment="1">
      <alignment horizontal="right" vertical="center"/>
    </xf>
    <xf numFmtId="0" fontId="0" fillId="0" borderId="97" xfId="0" applyBorder="1" applyAlignment="1">
      <alignment horizontal="right" vertical="center" wrapText="1"/>
    </xf>
    <xf numFmtId="165" fontId="0" fillId="0" borderId="138" xfId="0" applyNumberFormat="1" applyBorder="1" applyAlignment="1">
      <alignment horizontal="right" vertical="center"/>
    </xf>
    <xf numFmtId="0" fontId="4" fillId="0" borderId="77" xfId="0" applyFont="1" applyBorder="1" applyAlignment="1">
      <alignment horizontal="right" vertical="center" wrapText="1"/>
    </xf>
    <xf numFmtId="165" fontId="26" fillId="0" borderId="77" xfId="0" applyNumberFormat="1" applyFont="1" applyBorder="1" applyAlignment="1">
      <alignment horizontal="right" vertical="center"/>
    </xf>
    <xf numFmtId="0" fontId="4" fillId="0" borderId="77" xfId="0" applyFont="1" applyBorder="1" applyAlignment="1">
      <alignment horizontal="right" vertical="center"/>
    </xf>
    <xf numFmtId="43" fontId="0" fillId="0" borderId="77" xfId="0" applyNumberFormat="1" applyBorder="1" applyAlignment="1">
      <alignment horizontal="right" vertical="center"/>
    </xf>
    <xf numFmtId="0" fontId="4" fillId="0" borderId="85" xfId="0" applyFont="1" applyBorder="1" applyAlignment="1">
      <alignment horizontal="right" vertical="center" wrapText="1"/>
    </xf>
    <xf numFmtId="165" fontId="0" fillId="0" borderId="85" xfId="0" applyNumberFormat="1" applyBorder="1" applyAlignment="1">
      <alignment horizontal="right" vertical="center"/>
    </xf>
    <xf numFmtId="0" fontId="4" fillId="0" borderId="85" xfId="0" applyFont="1" applyBorder="1" applyAlignment="1">
      <alignment horizontal="right" vertical="center"/>
    </xf>
    <xf numFmtId="10" fontId="0" fillId="0" borderId="85" xfId="1" applyNumberFormat="1" applyFont="1" applyBorder="1" applyAlignment="1">
      <alignment horizontal="right" vertical="center"/>
    </xf>
    <xf numFmtId="165" fontId="2" fillId="0" borderId="85" xfId="0" applyNumberFormat="1" applyFont="1" applyBorder="1" applyAlignment="1">
      <alignment horizontal="right" vertical="center"/>
    </xf>
    <xf numFmtId="0" fontId="0" fillId="0" borderId="85" xfId="0" applyBorder="1" applyAlignment="1">
      <alignment horizontal="right" vertical="center" wrapText="1"/>
    </xf>
    <xf numFmtId="49" fontId="0" fillId="0" borderId="85" xfId="0" applyNumberFormat="1" applyBorder="1" applyAlignment="1">
      <alignment horizontal="right" vertical="center" wrapText="1"/>
    </xf>
    <xf numFmtId="0" fontId="2" fillId="0" borderId="78" xfId="0" applyFont="1" applyBorder="1" applyAlignment="1">
      <alignment horizontal="right" vertical="center"/>
    </xf>
    <xf numFmtId="0" fontId="2" fillId="0" borderId="97" xfId="0" applyFont="1" applyBorder="1" applyAlignment="1">
      <alignment horizontal="right" vertical="center"/>
    </xf>
    <xf numFmtId="0" fontId="2" fillId="0" borderId="66" xfId="0" applyFont="1" applyBorder="1" applyAlignment="1">
      <alignment horizontal="right" vertical="center"/>
    </xf>
    <xf numFmtId="0" fontId="0" fillId="0" borderId="77" xfId="0" applyBorder="1" applyAlignment="1">
      <alignment horizontal="right" vertical="center" wrapText="1"/>
    </xf>
    <xf numFmtId="14" fontId="0" fillId="0" borderId="77" xfId="0" applyNumberFormat="1" applyBorder="1" applyAlignment="1">
      <alignment horizontal="right" vertical="center"/>
    </xf>
    <xf numFmtId="0" fontId="38" fillId="0" borderId="62" xfId="0" applyFont="1" applyBorder="1" applyAlignment="1">
      <alignment horizontal="right" vertical="center" wrapText="1"/>
    </xf>
    <xf numFmtId="0" fontId="4" fillId="0" borderId="62" xfId="0" applyFont="1" applyBorder="1" applyAlignment="1">
      <alignment horizontal="right" vertical="center" wrapText="1"/>
    </xf>
    <xf numFmtId="0" fontId="4" fillId="0" borderId="135" xfId="0" applyFont="1" applyBorder="1" applyAlignment="1">
      <alignment horizontal="right" vertical="center"/>
    </xf>
    <xf numFmtId="0" fontId="31" fillId="0" borderId="78" xfId="0" applyFont="1" applyBorder="1" applyAlignment="1">
      <alignment vertical="center" wrapText="1"/>
    </xf>
    <xf numFmtId="0" fontId="2" fillId="2" borderId="61" xfId="0" applyFont="1" applyFill="1" applyBorder="1" applyAlignment="1">
      <alignment horizontal="right" vertical="center"/>
    </xf>
    <xf numFmtId="0" fontId="2" fillId="0" borderId="61" xfId="0" applyFont="1" applyBorder="1" applyAlignment="1">
      <alignment horizontal="right" vertical="center"/>
    </xf>
    <xf numFmtId="0" fontId="45" fillId="2" borderId="61" xfId="0" applyFont="1" applyFill="1" applyBorder="1" applyAlignment="1">
      <alignment horizontal="right" vertical="center"/>
    </xf>
    <xf numFmtId="165" fontId="0" fillId="0" borderId="61" xfId="0" applyNumberFormat="1" applyBorder="1" applyAlignment="1">
      <alignment horizontal="right" vertical="center"/>
    </xf>
    <xf numFmtId="0" fontId="2" fillId="2" borderId="0" xfId="0" applyFont="1" applyFill="1" applyAlignment="1">
      <alignment horizontal="right" vertical="center"/>
    </xf>
    <xf numFmtId="0" fontId="2" fillId="2" borderId="62" xfId="0" applyFont="1" applyFill="1" applyBorder="1" applyAlignment="1">
      <alignment horizontal="right" vertical="center"/>
    </xf>
    <xf numFmtId="165" fontId="0" fillId="0" borderId="62" xfId="0" applyNumberFormat="1" applyBorder="1" applyAlignment="1">
      <alignment horizontal="right" vertical="center"/>
    </xf>
    <xf numFmtId="0" fontId="4" fillId="2" borderId="61" xfId="0" applyFont="1" applyFill="1" applyBorder="1" applyAlignment="1">
      <alignment horizontal="right" vertical="center"/>
    </xf>
    <xf numFmtId="0" fontId="4" fillId="2" borderId="0" xfId="0" applyFont="1" applyFill="1" applyAlignment="1">
      <alignment horizontal="right" vertical="center"/>
    </xf>
    <xf numFmtId="0" fontId="4" fillId="2" borderId="0" xfId="0" applyFont="1" applyFill="1" applyAlignment="1">
      <alignment horizontal="right" vertical="center" wrapText="1"/>
    </xf>
    <xf numFmtId="0" fontId="4" fillId="2" borderId="62" xfId="0" applyFont="1" applyFill="1" applyBorder="1" applyAlignment="1">
      <alignment horizontal="right" vertical="center" wrapText="1"/>
    </xf>
    <xf numFmtId="0" fontId="38" fillId="2" borderId="62" xfId="0" applyFont="1" applyFill="1" applyBorder="1" applyAlignment="1">
      <alignment horizontal="right" vertical="center" wrapText="1"/>
    </xf>
    <xf numFmtId="0" fontId="4" fillId="2" borderId="61" xfId="0" applyFont="1" applyFill="1" applyBorder="1" applyAlignment="1">
      <alignment horizontal="right" vertical="center" wrapText="1"/>
    </xf>
    <xf numFmtId="0" fontId="4" fillId="0" borderId="137" xfId="0" applyFont="1" applyBorder="1" applyAlignment="1">
      <alignment horizontal="right" vertical="center"/>
    </xf>
    <xf numFmtId="0" fontId="2" fillId="0" borderId="137" xfId="0" applyFont="1" applyBorder="1" applyAlignment="1">
      <alignment vertical="center" wrapText="1"/>
    </xf>
    <xf numFmtId="0" fontId="0" fillId="0" borderId="100" xfId="0" applyBorder="1" applyAlignment="1">
      <alignment horizontal="center" vertical="center"/>
    </xf>
    <xf numFmtId="9" fontId="0" fillId="0" borderId="74" xfId="1" applyFont="1" applyBorder="1" applyAlignment="1">
      <alignment horizontal="right" vertical="center"/>
    </xf>
    <xf numFmtId="0" fontId="2" fillId="2" borderId="101" xfId="0" applyFont="1" applyFill="1" applyBorder="1" applyAlignment="1">
      <alignment horizontal="right" vertical="center"/>
    </xf>
    <xf numFmtId="165" fontId="2" fillId="2" borderId="96" xfId="0" applyNumberFormat="1" applyFont="1" applyFill="1" applyBorder="1" applyAlignment="1">
      <alignment horizontal="right" vertical="center"/>
    </xf>
    <xf numFmtId="9" fontId="2" fillId="2" borderId="101" xfId="1" applyFont="1" applyFill="1" applyBorder="1" applyAlignment="1">
      <alignment horizontal="right" vertical="center"/>
    </xf>
    <xf numFmtId="0" fontId="4" fillId="2" borderId="142" xfId="0" applyFont="1" applyFill="1" applyBorder="1" applyAlignment="1">
      <alignment horizontal="right" vertical="center" wrapText="1"/>
    </xf>
    <xf numFmtId="0" fontId="4" fillId="2" borderId="96" xfId="0" applyFont="1" applyFill="1" applyBorder="1" applyAlignment="1">
      <alignment vertical="center" wrapText="1"/>
    </xf>
    <xf numFmtId="0" fontId="46" fillId="0" borderId="0" xfId="0" applyFont="1" applyAlignment="1">
      <alignment horizontal="right" vertical="center"/>
    </xf>
    <xf numFmtId="165" fontId="2" fillId="0" borderId="0" xfId="0" applyNumberFormat="1" applyFont="1" applyAlignment="1">
      <alignment horizontal="right" vertical="center"/>
    </xf>
    <xf numFmtId="0" fontId="0" fillId="0" borderId="147" xfId="0" applyBorder="1" applyAlignment="1">
      <alignment vertical="center"/>
    </xf>
    <xf numFmtId="0" fontId="0" fillId="0" borderId="148" xfId="0" applyBorder="1" applyAlignment="1">
      <alignment horizontal="right" vertical="center"/>
    </xf>
    <xf numFmtId="0" fontId="0" fillId="0" borderId="149" xfId="0" applyBorder="1" applyAlignment="1">
      <alignment horizontal="right" vertical="center"/>
    </xf>
    <xf numFmtId="0" fontId="0" fillId="0" borderId="152" xfId="0" applyBorder="1" applyAlignment="1">
      <alignment horizontal="right" vertical="center"/>
    </xf>
    <xf numFmtId="0" fontId="47" fillId="27" borderId="0" xfId="0" applyFont="1" applyFill="1" applyAlignment="1">
      <alignment horizontal="right" vertical="center" readingOrder="2"/>
    </xf>
    <xf numFmtId="0" fontId="47" fillId="28" borderId="0" xfId="0" applyFont="1" applyFill="1" applyAlignment="1">
      <alignment horizontal="right" vertical="center" readingOrder="2"/>
    </xf>
    <xf numFmtId="165" fontId="47" fillId="28" borderId="66" xfId="0" applyNumberFormat="1" applyFont="1" applyFill="1" applyBorder="1" applyAlignment="1">
      <alignment horizontal="right" vertical="center" readingOrder="1"/>
    </xf>
    <xf numFmtId="0" fontId="47" fillId="29" borderId="0" xfId="0" applyFont="1" applyFill="1" applyAlignment="1">
      <alignment horizontal="right" vertical="center" readingOrder="2"/>
    </xf>
    <xf numFmtId="0" fontId="47" fillId="30" borderId="0" xfId="0" applyFont="1" applyFill="1" applyAlignment="1">
      <alignment horizontal="right" vertical="center" readingOrder="2"/>
    </xf>
    <xf numFmtId="165" fontId="47" fillId="30" borderId="85" xfId="2" applyNumberFormat="1" applyFont="1" applyFill="1" applyBorder="1" applyAlignment="1">
      <alignment horizontal="right" vertical="center" readingOrder="1"/>
    </xf>
    <xf numFmtId="0" fontId="47" fillId="31" borderId="0" xfId="0" applyFont="1" applyFill="1" applyAlignment="1">
      <alignment horizontal="right" vertical="center" readingOrder="2"/>
    </xf>
    <xf numFmtId="0" fontId="47" fillId="31" borderId="0" xfId="0" applyFont="1" applyFill="1" applyAlignment="1">
      <alignment horizontal="right" vertical="center" wrapText="1" readingOrder="2"/>
    </xf>
    <xf numFmtId="9" fontId="47" fillId="31" borderId="0" xfId="1" applyFont="1" applyFill="1" applyAlignment="1">
      <alignment horizontal="right" vertical="center" readingOrder="2"/>
    </xf>
    <xf numFmtId="0" fontId="47" fillId="32" borderId="0" xfId="0" applyFont="1" applyFill="1" applyAlignment="1">
      <alignment horizontal="right" vertical="center" readingOrder="2"/>
    </xf>
    <xf numFmtId="165" fontId="47" fillId="27" borderId="85" xfId="2" applyNumberFormat="1" applyFont="1" applyFill="1" applyBorder="1" applyAlignment="1">
      <alignment horizontal="right" vertical="center" readingOrder="1"/>
    </xf>
    <xf numFmtId="0" fontId="6" fillId="33" borderId="140" xfId="0" applyFont="1" applyFill="1" applyBorder="1" applyAlignment="1">
      <alignment horizontal="right" vertical="center"/>
    </xf>
    <xf numFmtId="14" fontId="6" fillId="33" borderId="141" xfId="0" applyNumberFormat="1" applyFont="1" applyFill="1" applyBorder="1" applyAlignment="1">
      <alignment horizontal="right" vertical="center"/>
    </xf>
    <xf numFmtId="1" fontId="0" fillId="0" borderId="78" xfId="0" applyNumberFormat="1" applyBorder="1" applyAlignment="1">
      <alignment horizontal="left" vertical="center" wrapText="1" readingOrder="2"/>
    </xf>
    <xf numFmtId="0" fontId="0" fillId="0" borderId="85" xfId="0" applyBorder="1" applyAlignment="1">
      <alignment horizontal="left" vertical="center" wrapText="1"/>
    </xf>
    <xf numFmtId="0" fontId="20" fillId="0" borderId="85" xfId="0" applyFont="1" applyBorder="1" applyAlignment="1">
      <alignment horizontal="right" vertical="center" wrapText="1"/>
    </xf>
    <xf numFmtId="1" fontId="0" fillId="0" borderId="85" xfId="0" applyNumberFormat="1" applyBorder="1" applyAlignment="1">
      <alignment horizontal="left" vertical="center" wrapText="1"/>
    </xf>
    <xf numFmtId="0" fontId="38" fillId="0" borderId="85" xfId="0" applyFont="1" applyBorder="1" applyAlignment="1">
      <alignment horizontal="right" vertical="center" wrapText="1"/>
    </xf>
    <xf numFmtId="0" fontId="6" fillId="33" borderId="140" xfId="0" applyFont="1" applyFill="1" applyBorder="1" applyAlignment="1">
      <alignment horizontal="left" vertical="center"/>
    </xf>
    <xf numFmtId="0" fontId="6" fillId="33" borderId="139" xfId="0" applyFont="1" applyFill="1" applyBorder="1" applyAlignment="1">
      <alignment horizontal="left" vertical="center"/>
    </xf>
    <xf numFmtId="0" fontId="0" fillId="0" borderId="78" xfId="0" applyBorder="1" applyAlignment="1">
      <alignment horizontal="left" vertical="center" wrapText="1"/>
    </xf>
    <xf numFmtId="0" fontId="4" fillId="0" borderId="4" xfId="4" applyFont="1" applyBorder="1"/>
    <xf numFmtId="0" fontId="20" fillId="0" borderId="77" xfId="0" applyFont="1" applyBorder="1" applyAlignment="1">
      <alignment horizontal="right" vertical="center" wrapText="1"/>
    </xf>
    <xf numFmtId="0" fontId="4" fillId="2" borderId="66" xfId="0" applyFont="1" applyFill="1" applyBorder="1" applyAlignment="1">
      <alignment horizontal="right" vertical="center"/>
    </xf>
    <xf numFmtId="0" fontId="4" fillId="2" borderId="66" xfId="0" applyFont="1" applyFill="1" applyBorder="1" applyAlignment="1">
      <alignment horizontal="right" vertical="center" wrapText="1"/>
    </xf>
    <xf numFmtId="0" fontId="0" fillId="0" borderId="160" xfId="2" applyNumberFormat="1" applyFont="1" applyBorder="1" applyAlignment="1">
      <alignment horizontal="right" vertical="center" wrapText="1"/>
    </xf>
    <xf numFmtId="0" fontId="0" fillId="0" borderId="160" xfId="0" applyBorder="1" applyAlignment="1">
      <alignment vertical="center"/>
    </xf>
    <xf numFmtId="165" fontId="0" fillId="0" borderId="160" xfId="0" applyNumberFormat="1" applyBorder="1" applyAlignment="1">
      <alignment horizontal="right" vertical="center"/>
    </xf>
    <xf numFmtId="0" fontId="0" fillId="0" borderId="97" xfId="2" applyNumberFormat="1" applyFont="1" applyBorder="1" applyAlignment="1">
      <alignment horizontal="right" vertical="center" wrapText="1"/>
    </xf>
    <xf numFmtId="0" fontId="0" fillId="0" borderId="161" xfId="2" applyNumberFormat="1" applyFont="1" applyBorder="1" applyAlignment="1">
      <alignment horizontal="right" vertical="center" wrapText="1"/>
    </xf>
    <xf numFmtId="0" fontId="0" fillId="0" borderId="161" xfId="0" applyBorder="1" applyAlignment="1">
      <alignment vertical="center"/>
    </xf>
    <xf numFmtId="165" fontId="0" fillId="0" borderId="161" xfId="0" applyNumberFormat="1" applyBorder="1" applyAlignment="1">
      <alignment horizontal="right" vertical="center"/>
    </xf>
    <xf numFmtId="0" fontId="0" fillId="0" borderId="98" xfId="0" applyBorder="1" applyAlignment="1">
      <alignment horizontal="right" vertical="center" wrapText="1"/>
    </xf>
    <xf numFmtId="0" fontId="0" fillId="0" borderId="74" xfId="0" applyBorder="1" applyAlignment="1">
      <alignment horizontal="right" vertical="center" wrapText="1"/>
    </xf>
    <xf numFmtId="0" fontId="43" fillId="0" borderId="5" xfId="0" applyFont="1" applyBorder="1" applyAlignment="1">
      <alignment vertical="center"/>
    </xf>
    <xf numFmtId="0" fontId="43" fillId="0" borderId="115" xfId="0" applyFont="1" applyBorder="1" applyAlignment="1">
      <alignment vertical="center"/>
    </xf>
    <xf numFmtId="0" fontId="43" fillId="26" borderId="115" xfId="0" applyFont="1" applyFill="1" applyBorder="1" applyAlignment="1">
      <alignment vertical="center"/>
    </xf>
    <xf numFmtId="14" fontId="43" fillId="0" borderId="115" xfId="0" applyNumberFormat="1" applyFont="1" applyBorder="1" applyAlignment="1">
      <alignment vertical="center"/>
    </xf>
    <xf numFmtId="0" fontId="43" fillId="0" borderId="115" xfId="0" applyFont="1" applyBorder="1" applyAlignment="1">
      <alignment vertical="center" readingOrder="2"/>
    </xf>
    <xf numFmtId="14" fontId="43" fillId="0" borderId="115" xfId="0" applyNumberFormat="1" applyFont="1" applyBorder="1" applyAlignment="1">
      <alignment horizontal="right" vertical="center"/>
    </xf>
    <xf numFmtId="0" fontId="43" fillId="0" borderId="115" xfId="0" applyFont="1" applyBorder="1" applyAlignment="1">
      <alignment horizontal="right" vertical="center" readingOrder="2"/>
    </xf>
    <xf numFmtId="0" fontId="43" fillId="0" borderId="116" xfId="0" applyFont="1" applyBorder="1" applyAlignment="1">
      <alignment vertical="center"/>
    </xf>
    <xf numFmtId="0" fontId="43" fillId="0" borderId="168" xfId="0" applyFont="1" applyBorder="1" applyAlignment="1">
      <alignment vertical="center"/>
    </xf>
    <xf numFmtId="0" fontId="43" fillId="0" borderId="169" xfId="0" applyFont="1" applyBorder="1" applyAlignment="1">
      <alignment vertical="center"/>
    </xf>
    <xf numFmtId="0" fontId="43" fillId="0" borderId="162" xfId="0" applyFont="1" applyBorder="1" applyAlignment="1">
      <alignment vertical="center"/>
    </xf>
    <xf numFmtId="0" fontId="43" fillId="26" borderId="166" xfId="0" applyFont="1" applyFill="1" applyBorder="1" applyAlignment="1">
      <alignment vertical="center"/>
    </xf>
    <xf numFmtId="0" fontId="8" fillId="0" borderId="116" xfId="0" applyFont="1" applyBorder="1" applyAlignment="1">
      <alignment vertical="center" readingOrder="2"/>
    </xf>
    <xf numFmtId="0" fontId="43" fillId="26" borderId="167" xfId="0" applyFont="1" applyFill="1" applyBorder="1" applyAlignment="1">
      <alignment vertical="center"/>
    </xf>
    <xf numFmtId="0" fontId="49" fillId="0" borderId="0" xfId="0" applyFont="1" applyAlignment="1">
      <alignment horizontal="right" vertical="center" wrapText="1" readingOrder="2"/>
    </xf>
    <xf numFmtId="0" fontId="50" fillId="0" borderId="0" xfId="0" applyFont="1" applyAlignment="1">
      <alignment horizontal="justify" vertical="center" wrapText="1" readingOrder="2"/>
    </xf>
    <xf numFmtId="0" fontId="52" fillId="0" borderId="0" xfId="0" applyFont="1" applyAlignment="1">
      <alignment horizontal="right" vertical="center" wrapText="1" readingOrder="2"/>
    </xf>
    <xf numFmtId="14" fontId="52" fillId="0" borderId="0" xfId="0" applyNumberFormat="1" applyFont="1" applyAlignment="1">
      <alignment horizontal="right" vertical="center" wrapText="1" readingOrder="2"/>
    </xf>
    <xf numFmtId="0" fontId="48" fillId="0" borderId="0" xfId="0" applyFont="1" applyAlignment="1">
      <alignment vertical="center" wrapText="1" readingOrder="2"/>
    </xf>
    <xf numFmtId="0" fontId="55" fillId="0" borderId="0" xfId="0" applyFont="1" applyAlignment="1">
      <alignment vertical="center" wrapText="1" readingOrder="2"/>
    </xf>
    <xf numFmtId="0" fontId="50" fillId="0" borderId="0" xfId="0" applyFont="1" applyAlignment="1">
      <alignment vertical="center" wrapText="1"/>
    </xf>
    <xf numFmtId="0" fontId="0" fillId="0" borderId="0" xfId="0" applyAlignment="1">
      <alignment vertical="center" wrapText="1"/>
    </xf>
    <xf numFmtId="0" fontId="50" fillId="0" borderId="0" xfId="0" applyFont="1" applyAlignment="1">
      <alignment horizontal="right" vertical="center" wrapText="1" readingOrder="2"/>
    </xf>
    <xf numFmtId="0" fontId="57" fillId="0" borderId="0" xfId="0" applyFont="1" applyAlignment="1">
      <alignment vertical="center" wrapText="1" readingOrder="2"/>
    </xf>
    <xf numFmtId="0" fontId="57" fillId="0" borderId="0" xfId="0" applyFont="1" applyAlignment="1">
      <alignment horizontal="right" vertical="center" wrapText="1" readingOrder="2"/>
    </xf>
    <xf numFmtId="0" fontId="57" fillId="0" borderId="0" xfId="0" applyFont="1" applyAlignment="1">
      <alignment horizontal="justify" vertical="center" wrapText="1" readingOrder="2"/>
    </xf>
    <xf numFmtId="0" fontId="52" fillId="0" borderId="0" xfId="0" applyFont="1" applyAlignment="1">
      <alignment horizontal="justify" vertical="center" wrapText="1" readingOrder="2"/>
    </xf>
    <xf numFmtId="0" fontId="56" fillId="0" borderId="0" xfId="0" applyFont="1" applyAlignment="1">
      <alignment horizontal="justify" vertical="center" wrapText="1" readingOrder="2"/>
    </xf>
    <xf numFmtId="14" fontId="56" fillId="0" borderId="0" xfId="0" applyNumberFormat="1" applyFont="1" applyAlignment="1">
      <alignment horizontal="justify" vertical="center" wrapText="1" readingOrder="2"/>
    </xf>
    <xf numFmtId="14" fontId="52" fillId="0" borderId="0" xfId="0" applyNumberFormat="1" applyFont="1" applyAlignment="1">
      <alignment horizontal="justify" vertical="center" wrapText="1" readingOrder="2"/>
    </xf>
    <xf numFmtId="0" fontId="51" fillId="0" borderId="0" xfId="0" applyFont="1" applyAlignment="1">
      <alignment horizontal="right" vertical="center" wrapText="1" readingOrder="2"/>
    </xf>
    <xf numFmtId="0" fontId="51" fillId="0" borderId="0" xfId="0" applyFont="1" applyAlignment="1">
      <alignment vertical="center" wrapText="1" readingOrder="2"/>
    </xf>
    <xf numFmtId="0" fontId="55" fillId="0" borderId="0" xfId="0" applyFont="1" applyAlignment="1">
      <alignment horizontal="justify" vertical="center" wrapText="1" readingOrder="2"/>
    </xf>
    <xf numFmtId="0" fontId="50" fillId="0" borderId="0" xfId="0" applyFont="1" applyAlignment="1">
      <alignment vertical="center" wrapText="1" readingOrder="2"/>
    </xf>
    <xf numFmtId="0" fontId="52" fillId="0" borderId="0" xfId="0" applyFont="1" applyAlignment="1">
      <alignment vertical="center" wrapText="1" readingOrder="2"/>
    </xf>
    <xf numFmtId="0" fontId="50" fillId="0" borderId="0" xfId="0" applyFont="1" applyAlignment="1">
      <alignment horizontal="center" vertical="center" wrapText="1"/>
    </xf>
    <xf numFmtId="0" fontId="53" fillId="0" borderId="0" xfId="0" applyFont="1" applyAlignment="1">
      <alignment horizontal="justify" vertical="center" wrapText="1" readingOrder="2"/>
    </xf>
    <xf numFmtId="0" fontId="61" fillId="0" borderId="0" xfId="0" applyFont="1" applyAlignment="1">
      <alignment wrapText="1"/>
    </xf>
    <xf numFmtId="0" fontId="53" fillId="0" borderId="2" xfId="0" applyFont="1" applyBorder="1" applyAlignment="1">
      <alignment horizontal="justify" vertical="center" wrapText="1" readingOrder="2"/>
    </xf>
    <xf numFmtId="14" fontId="53" fillId="0" borderId="2" xfId="0" applyNumberFormat="1" applyFont="1" applyBorder="1" applyAlignment="1">
      <alignment vertical="center" wrapText="1" readingOrder="2"/>
    </xf>
    <xf numFmtId="0" fontId="53" fillId="0" borderId="4" xfId="0" applyFont="1" applyBorder="1" applyAlignment="1">
      <alignment vertical="center" wrapText="1" readingOrder="2"/>
    </xf>
    <xf numFmtId="0" fontId="61" fillId="0" borderId="1" xfId="0" applyFont="1" applyBorder="1" applyAlignment="1">
      <alignment wrapText="1"/>
    </xf>
    <xf numFmtId="0" fontId="61" fillId="0" borderId="5" xfId="0" applyFont="1" applyBorder="1" applyAlignment="1">
      <alignment wrapText="1"/>
    </xf>
    <xf numFmtId="0" fontId="62" fillId="35" borderId="2" xfId="0" applyFont="1" applyFill="1" applyBorder="1" applyAlignment="1">
      <alignment horizontal="right" vertical="center" wrapText="1" readingOrder="2"/>
    </xf>
    <xf numFmtId="0" fontId="62" fillId="0" borderId="2" xfId="0" applyFont="1" applyBorder="1" applyAlignment="1">
      <alignment horizontal="right" vertical="center" wrapText="1" readingOrder="2"/>
    </xf>
    <xf numFmtId="14" fontId="53" fillId="0" borderId="2" xfId="0" applyNumberFormat="1" applyFont="1" applyBorder="1" applyAlignment="1">
      <alignment horizontal="right" vertical="center" wrapText="1"/>
    </xf>
    <xf numFmtId="0" fontId="58" fillId="0" borderId="0" xfId="0" applyFont="1" applyAlignment="1">
      <alignment vertical="center" wrapText="1"/>
    </xf>
    <xf numFmtId="0" fontId="69" fillId="0" borderId="2" xfId="0" applyFont="1" applyBorder="1" applyAlignment="1">
      <alignment horizontal="justify" vertical="center" wrapText="1" readingOrder="2"/>
    </xf>
    <xf numFmtId="14" fontId="69" fillId="0" borderId="2" xfId="0" applyNumberFormat="1" applyFont="1" applyBorder="1" applyAlignment="1">
      <alignment vertical="center" wrapText="1"/>
    </xf>
    <xf numFmtId="0" fontId="30" fillId="0" borderId="0" xfId="0" applyFont="1" applyAlignment="1">
      <alignment horizontal="right" wrapText="1"/>
    </xf>
    <xf numFmtId="0" fontId="71" fillId="0" borderId="0" xfId="0" applyFont="1" applyAlignment="1">
      <alignment horizontal="justify" vertical="center" wrapText="1" readingOrder="2"/>
    </xf>
    <xf numFmtId="0" fontId="30" fillId="0" borderId="0" xfId="0" applyFont="1" applyAlignment="1">
      <alignment wrapText="1"/>
    </xf>
    <xf numFmtId="0" fontId="68" fillId="0" borderId="0" xfId="0" applyFont="1" applyAlignment="1">
      <alignment horizontal="justify" vertical="center" wrapText="1" readingOrder="2"/>
    </xf>
    <xf numFmtId="0" fontId="30" fillId="0" borderId="0" xfId="0" applyFont="1" applyAlignment="1">
      <alignment vertical="center" wrapText="1"/>
    </xf>
    <xf numFmtId="0" fontId="80" fillId="35" borderId="2" xfId="0" applyFont="1" applyFill="1" applyBorder="1" applyAlignment="1">
      <alignment horizontal="right" vertical="center" wrapText="1" readingOrder="2"/>
    </xf>
    <xf numFmtId="0" fontId="12" fillId="4" borderId="4" xfId="0" applyFont="1" applyFill="1" applyBorder="1" applyAlignment="1">
      <alignment vertical="center" wrapText="1"/>
    </xf>
    <xf numFmtId="0" fontId="81" fillId="0" borderId="115" xfId="0" applyFont="1" applyBorder="1" applyAlignment="1">
      <alignment horizontal="center" vertical="center" wrapText="1" readingOrder="2"/>
    </xf>
    <xf numFmtId="0" fontId="85" fillId="0" borderId="0" xfId="0" applyFont="1" applyAlignment="1">
      <alignment wrapText="1"/>
    </xf>
    <xf numFmtId="0" fontId="84" fillId="0" borderId="0" xfId="0" applyFont="1" applyAlignment="1">
      <alignment vertical="center" wrapText="1" readingOrder="2"/>
    </xf>
    <xf numFmtId="0" fontId="84" fillId="0" borderId="0" xfId="0" applyFont="1" applyAlignment="1">
      <alignment horizontal="right" vertical="center" wrapText="1"/>
    </xf>
    <xf numFmtId="0" fontId="52" fillId="0" borderId="0" xfId="0" applyFont="1" applyAlignment="1">
      <alignment wrapText="1"/>
    </xf>
    <xf numFmtId="0" fontId="93" fillId="0" borderId="0" xfId="0" applyFont="1" applyAlignment="1">
      <alignment wrapText="1"/>
    </xf>
    <xf numFmtId="0" fontId="92" fillId="0" borderId="0" xfId="0" applyFont="1" applyAlignment="1">
      <alignment vertical="center" wrapText="1" readingOrder="2"/>
    </xf>
    <xf numFmtId="0" fontId="84" fillId="0" borderId="0" xfId="0" applyFont="1" applyAlignment="1">
      <alignment horizontal="justify" vertical="center" wrapText="1" readingOrder="2"/>
    </xf>
    <xf numFmtId="0" fontId="85" fillId="0" borderId="0" xfId="0" applyFont="1" applyAlignment="1">
      <alignment horizontal="right" vertical="center" wrapText="1" readingOrder="2"/>
    </xf>
    <xf numFmtId="0" fontId="90" fillId="35" borderId="2" xfId="0" applyFont="1" applyFill="1" applyBorder="1" applyAlignment="1">
      <alignment horizontal="right" vertical="center" wrapText="1" readingOrder="2"/>
    </xf>
    <xf numFmtId="0" fontId="93" fillId="0" borderId="0" xfId="0" applyFont="1" applyAlignment="1">
      <alignment horizontal="right" vertical="center" wrapText="1" readingOrder="2"/>
    </xf>
    <xf numFmtId="0" fontId="92" fillId="0" borderId="0" xfId="0" applyFont="1" applyAlignment="1">
      <alignment horizontal="right" vertical="center" wrapText="1" readingOrder="2"/>
    </xf>
    <xf numFmtId="0" fontId="94" fillId="35" borderId="2" xfId="0" applyFont="1" applyFill="1" applyBorder="1" applyAlignment="1">
      <alignment horizontal="right" vertical="center" wrapText="1" readingOrder="2"/>
    </xf>
    <xf numFmtId="0" fontId="93" fillId="0" borderId="11" xfId="0" applyFont="1" applyBorder="1" applyAlignment="1">
      <alignment vertical="center" wrapText="1" readingOrder="2"/>
    </xf>
    <xf numFmtId="0" fontId="93" fillId="0" borderId="0" xfId="0" applyFont="1" applyAlignment="1">
      <alignment vertical="center" wrapText="1" readingOrder="2"/>
    </xf>
    <xf numFmtId="0" fontId="93" fillId="0" borderId="12" xfId="0" applyFont="1" applyBorder="1" applyAlignment="1">
      <alignment vertical="center" wrapText="1" readingOrder="2"/>
    </xf>
    <xf numFmtId="0" fontId="89" fillId="0" borderId="0" xfId="0" applyFont="1" applyAlignment="1">
      <alignment horizontal="right" vertical="center" wrapText="1" readingOrder="2"/>
    </xf>
    <xf numFmtId="0" fontId="58" fillId="0" borderId="0" xfId="0" applyFont="1" applyAlignment="1">
      <alignment horizontal="justify" vertical="center" wrapText="1" readingOrder="2"/>
    </xf>
    <xf numFmtId="0" fontId="58" fillId="0" borderId="0" xfId="0" applyFont="1" applyAlignment="1">
      <alignment wrapText="1"/>
    </xf>
    <xf numFmtId="0" fontId="30" fillId="0" borderId="11" xfId="0" applyFont="1" applyBorder="1" applyAlignment="1">
      <alignment wrapText="1"/>
    </xf>
    <xf numFmtId="0" fontId="30" fillId="0" borderId="12" xfId="0" applyFont="1" applyBorder="1" applyAlignment="1">
      <alignment wrapText="1"/>
    </xf>
    <xf numFmtId="0" fontId="30" fillId="0" borderId="6" xfId="0" applyFont="1" applyBorder="1" applyAlignment="1">
      <alignment wrapText="1"/>
    </xf>
    <xf numFmtId="0" fontId="30" fillId="0" borderId="3" xfId="0" applyFont="1" applyBorder="1" applyAlignment="1">
      <alignment wrapText="1"/>
    </xf>
    <xf numFmtId="0" fontId="30" fillId="0" borderId="7" xfId="0" applyFont="1" applyBorder="1" applyAlignment="1">
      <alignment wrapText="1"/>
    </xf>
    <xf numFmtId="0" fontId="53" fillId="36" borderId="2" xfId="0" applyFont="1" applyFill="1" applyBorder="1" applyAlignment="1">
      <alignment horizontal="center" vertical="center" wrapText="1" readingOrder="2"/>
    </xf>
    <xf numFmtId="41" fontId="65" fillId="0" borderId="2" xfId="7" applyNumberFormat="1" applyFont="1" applyBorder="1" applyAlignment="1">
      <alignment horizontal="right" vertical="center" wrapText="1"/>
    </xf>
    <xf numFmtId="0" fontId="105" fillId="36" borderId="2" xfId="0" applyFont="1" applyFill="1" applyBorder="1" applyAlignment="1">
      <alignment horizontal="right" vertical="center" wrapText="1" readingOrder="2"/>
    </xf>
    <xf numFmtId="0" fontId="53" fillId="0" borderId="3" xfId="0" applyFont="1" applyBorder="1" applyAlignment="1">
      <alignment horizontal="right" vertical="center" wrapText="1" readingOrder="2"/>
    </xf>
    <xf numFmtId="0" fontId="58" fillId="0" borderId="3" xfId="0" applyFont="1" applyBorder="1" applyAlignment="1">
      <alignment horizontal="right" vertical="center" wrapText="1" readingOrder="2"/>
    </xf>
    <xf numFmtId="0" fontId="93" fillId="0" borderId="2" xfId="0" applyFont="1" applyBorder="1" applyAlignment="1">
      <alignment horizontal="right" vertical="center" wrapText="1" readingOrder="2"/>
    </xf>
    <xf numFmtId="0" fontId="93" fillId="0" borderId="2" xfId="0" applyFont="1" applyBorder="1" applyAlignment="1">
      <alignment vertical="center" wrapText="1" readingOrder="2"/>
    </xf>
    <xf numFmtId="0" fontId="108" fillId="0" borderId="2" xfId="0" applyFont="1" applyBorder="1" applyAlignment="1">
      <alignment horizontal="right" vertical="center" wrapText="1" readingOrder="2"/>
    </xf>
    <xf numFmtId="0" fontId="93" fillId="0" borderId="2" xfId="0" applyFont="1" applyBorder="1" applyAlignment="1">
      <alignment vertical="center" wrapText="1"/>
    </xf>
    <xf numFmtId="0" fontId="93" fillId="0" borderId="0" xfId="0" applyFont="1" applyAlignment="1">
      <alignment vertical="center" wrapText="1"/>
    </xf>
    <xf numFmtId="14" fontId="93" fillId="0" borderId="2" xfId="0" applyNumberFormat="1" applyFont="1" applyBorder="1" applyAlignment="1">
      <alignment vertical="center" wrapText="1"/>
    </xf>
    <xf numFmtId="0" fontId="95" fillId="35" borderId="2" xfId="0" applyFont="1" applyFill="1" applyBorder="1" applyAlignment="1">
      <alignment horizontal="right" vertical="center" wrapText="1" readingOrder="2"/>
    </xf>
    <xf numFmtId="0" fontId="91" fillId="0" borderId="0" xfId="0" applyFont="1" applyAlignment="1">
      <alignment horizontal="center" vertical="center" wrapText="1" readingOrder="2"/>
    </xf>
    <xf numFmtId="0" fontId="110" fillId="0" borderId="0" xfId="0" applyFont="1" applyAlignment="1">
      <alignment horizontal="justify" vertical="center" wrapText="1" readingOrder="2"/>
    </xf>
    <xf numFmtId="0" fontId="109" fillId="0" borderId="0" xfId="0" applyFont="1" applyAlignment="1">
      <alignment wrapText="1"/>
    </xf>
    <xf numFmtId="0" fontId="110" fillId="0" borderId="0" xfId="0" applyFont="1" applyAlignment="1">
      <alignment horizontal="right" vertical="center" wrapText="1" readingOrder="2"/>
    </xf>
    <xf numFmtId="0" fontId="92" fillId="0" borderId="2" xfId="0" applyFont="1" applyBorder="1" applyAlignment="1">
      <alignment vertical="center" wrapText="1" readingOrder="2"/>
    </xf>
    <xf numFmtId="0" fontId="112" fillId="0" borderId="2" xfId="0" applyFont="1" applyBorder="1" applyAlignment="1">
      <alignment horizontal="right" vertical="center" wrapText="1" readingOrder="2"/>
    </xf>
    <xf numFmtId="0" fontId="113" fillId="0" borderId="2" xfId="0" applyFont="1" applyBorder="1" applyAlignment="1">
      <alignment horizontal="right" vertical="center" wrapText="1" readingOrder="2"/>
    </xf>
    <xf numFmtId="0" fontId="112" fillId="0" borderId="2" xfId="0" applyFont="1" applyBorder="1" applyAlignment="1">
      <alignment horizontal="left" vertical="center" wrapText="1" readingOrder="2"/>
    </xf>
    <xf numFmtId="0" fontId="113" fillId="0" borderId="2" xfId="0" applyFont="1" applyBorder="1" applyAlignment="1">
      <alignment horizontal="left" vertical="center" wrapText="1" readingOrder="2"/>
    </xf>
    <xf numFmtId="0" fontId="106" fillId="0" borderId="2" xfId="0" applyFont="1" applyBorder="1" applyAlignment="1">
      <alignment vertical="center" wrapText="1" readingOrder="2"/>
    </xf>
    <xf numFmtId="0" fontId="113" fillId="0" borderId="0" xfId="0" applyFont="1" applyAlignment="1">
      <alignment vertical="center" wrapText="1"/>
    </xf>
    <xf numFmtId="0" fontId="115" fillId="0" borderId="0" xfId="0" applyFont="1" applyAlignment="1">
      <alignment horizontal="right" vertical="center" wrapText="1" readingOrder="2"/>
    </xf>
    <xf numFmtId="0" fontId="0" fillId="0" borderId="0" xfId="0" applyAlignment="1">
      <alignment horizontal="right" wrapText="1"/>
    </xf>
    <xf numFmtId="0" fontId="116" fillId="0" borderId="0" xfId="0" applyFont="1" applyAlignment="1">
      <alignment horizontal="center" vertical="center" wrapText="1" readingOrder="2"/>
    </xf>
    <xf numFmtId="0" fontId="112" fillId="0" borderId="0" xfId="0" applyFont="1" applyAlignment="1">
      <alignment wrapText="1"/>
    </xf>
    <xf numFmtId="0" fontId="112" fillId="0" borderId="0" xfId="0" applyFont="1" applyAlignment="1">
      <alignment horizontal="right" vertical="center" wrapText="1" readingOrder="2"/>
    </xf>
    <xf numFmtId="0" fontId="112" fillId="0" borderId="0" xfId="0" applyFont="1" applyAlignment="1">
      <alignment vertical="center" wrapText="1"/>
    </xf>
    <xf numFmtId="0" fontId="68" fillId="0" borderId="0" xfId="0" applyFont="1" applyAlignment="1">
      <alignment horizontal="right" vertical="center" wrapText="1" readingOrder="2"/>
    </xf>
    <xf numFmtId="0" fontId="53" fillId="0" borderId="2" xfId="0" applyFont="1" applyBorder="1" applyAlignment="1">
      <alignment horizontal="right" vertical="center" wrapText="1" readingOrder="2"/>
    </xf>
    <xf numFmtId="0" fontId="53" fillId="0" borderId="0" xfId="0" applyFont="1" applyAlignment="1">
      <alignment horizontal="right" vertical="center" wrapText="1" readingOrder="2"/>
    </xf>
    <xf numFmtId="0" fontId="68" fillId="0" borderId="0" xfId="0" applyFont="1" applyAlignment="1">
      <alignment horizontal="right" vertical="center" wrapText="1"/>
    </xf>
    <xf numFmtId="0" fontId="54" fillId="0" borderId="0" xfId="0" applyFont="1" applyAlignment="1">
      <alignment horizontal="center" vertical="center" wrapText="1" readingOrder="2"/>
    </xf>
    <xf numFmtId="0" fontId="43" fillId="26" borderId="168" xfId="0" applyFont="1" applyFill="1" applyBorder="1" applyAlignment="1">
      <alignment horizontal="right" vertical="center"/>
    </xf>
    <xf numFmtId="0" fontId="43" fillId="0" borderId="166" xfId="0" applyFont="1" applyBorder="1" applyAlignment="1">
      <alignment vertical="center"/>
    </xf>
    <xf numFmtId="0" fontId="43" fillId="0" borderId="167" xfId="0" applyFont="1" applyBorder="1" applyAlignment="1">
      <alignment vertical="center"/>
    </xf>
    <xf numFmtId="49" fontId="43" fillId="0" borderId="116" xfId="0" applyNumberFormat="1" applyFont="1" applyBorder="1" applyAlignment="1">
      <alignment horizontal="right" vertical="center"/>
    </xf>
    <xf numFmtId="0" fontId="92" fillId="0" borderId="0" xfId="0" applyFont="1" applyAlignment="1">
      <alignment horizontal="right" vertical="center" readingOrder="2"/>
    </xf>
    <xf numFmtId="0" fontId="106" fillId="0" borderId="0" xfId="0" applyFont="1" applyAlignment="1">
      <alignment vertical="center" readingOrder="2"/>
    </xf>
    <xf numFmtId="0" fontId="112" fillId="0" borderId="0" xfId="0" applyFont="1"/>
    <xf numFmtId="0" fontId="106" fillId="0" borderId="0" xfId="0" applyFont="1" applyAlignment="1">
      <alignment horizontal="right" vertical="center" readingOrder="2"/>
    </xf>
    <xf numFmtId="0" fontId="112" fillId="0" borderId="0" xfId="0" applyFont="1" applyAlignment="1">
      <alignment vertical="center"/>
    </xf>
    <xf numFmtId="0" fontId="112" fillId="0" borderId="0" xfId="0" applyFont="1" applyAlignment="1">
      <alignment vertical="center" readingOrder="2"/>
    </xf>
    <xf numFmtId="0" fontId="91" fillId="0" borderId="0" xfId="0" applyFont="1" applyAlignment="1">
      <alignment vertical="center" readingOrder="2"/>
    </xf>
    <xf numFmtId="0" fontId="112" fillId="0" borderId="0" xfId="0" applyFont="1" applyAlignment="1">
      <alignment horizontal="center" vertical="center" readingOrder="2"/>
    </xf>
    <xf numFmtId="0" fontId="43" fillId="0" borderId="170" xfId="0" applyFont="1" applyBorder="1" applyAlignment="1">
      <alignment vertical="center"/>
    </xf>
    <xf numFmtId="0" fontId="112" fillId="0" borderId="0" xfId="0" applyFont="1" applyAlignment="1">
      <alignment horizontal="right" vertical="center"/>
    </xf>
    <xf numFmtId="0" fontId="118" fillId="0" borderId="0" xfId="0" applyFont="1" applyAlignment="1">
      <alignment vertical="center" readingOrder="2"/>
    </xf>
    <xf numFmtId="0" fontId="112" fillId="35" borderId="2" xfId="0" applyFont="1" applyFill="1" applyBorder="1" applyAlignment="1">
      <alignment horizontal="center" vertical="center" readingOrder="2"/>
    </xf>
    <xf numFmtId="0" fontId="106" fillId="0" borderId="0" xfId="0" applyFont="1" applyAlignment="1">
      <alignment horizontal="center" vertical="center"/>
    </xf>
    <xf numFmtId="0" fontId="43" fillId="26" borderId="167" xfId="0" applyFont="1" applyFill="1" applyBorder="1" applyAlignment="1">
      <alignment vertical="center" readingOrder="2"/>
    </xf>
    <xf numFmtId="0" fontId="43" fillId="26" borderId="168" xfId="0" applyFont="1" applyFill="1" applyBorder="1" applyAlignment="1">
      <alignment vertical="center" readingOrder="2"/>
    </xf>
    <xf numFmtId="14" fontId="43" fillId="0" borderId="168" xfId="0" applyNumberFormat="1" applyFont="1" applyBorder="1" applyAlignment="1">
      <alignment vertical="center"/>
    </xf>
    <xf numFmtId="0" fontId="43" fillId="0" borderId="168" xfId="0" applyFont="1" applyBorder="1" applyAlignment="1">
      <alignment horizontal="right" vertical="center"/>
    </xf>
    <xf numFmtId="0" fontId="43" fillId="26" borderId="168" xfId="0" applyFont="1" applyFill="1" applyBorder="1" applyAlignment="1">
      <alignment vertical="center"/>
    </xf>
    <xf numFmtId="14" fontId="43" fillId="0" borderId="169" xfId="0" applyNumberFormat="1" applyFont="1" applyBorder="1" applyAlignment="1">
      <alignment vertical="center"/>
    </xf>
    <xf numFmtId="49" fontId="43" fillId="0" borderId="116" xfId="0" applyNumberFormat="1" applyFont="1" applyBorder="1" applyAlignment="1">
      <alignment vertical="center"/>
    </xf>
    <xf numFmtId="41" fontId="44" fillId="0" borderId="168" xfId="7" applyNumberFormat="1" applyFont="1" applyBorder="1" applyAlignment="1">
      <alignment horizontal="right" vertical="center"/>
    </xf>
    <xf numFmtId="41" fontId="44" fillId="0" borderId="168" xfId="7" applyNumberFormat="1" applyFont="1" applyBorder="1" applyAlignment="1">
      <alignment horizontal="right" vertical="center" readingOrder="2"/>
    </xf>
    <xf numFmtId="49" fontId="43" fillId="0" borderId="169" xfId="0" applyNumberFormat="1" applyFont="1" applyBorder="1" applyAlignment="1">
      <alignment vertical="center"/>
    </xf>
    <xf numFmtId="0" fontId="3" fillId="0" borderId="192" xfId="0" applyFont="1" applyBorder="1" applyAlignment="1" applyProtection="1">
      <alignment horizontal="center" vertical="center"/>
      <protection hidden="1"/>
    </xf>
    <xf numFmtId="0" fontId="3" fillId="0" borderId="193" xfId="0" applyFont="1" applyBorder="1" applyAlignment="1" applyProtection="1">
      <alignment horizontal="center" vertical="center"/>
      <protection hidden="1"/>
    </xf>
    <xf numFmtId="0" fontId="11" fillId="0" borderId="194" xfId="0" applyFont="1" applyBorder="1" applyAlignment="1" applyProtection="1">
      <alignment horizontal="center" vertical="center"/>
      <protection locked="0"/>
    </xf>
    <xf numFmtId="0" fontId="11" fillId="0" borderId="191" xfId="0" applyFont="1" applyBorder="1" applyAlignment="1" applyProtection="1">
      <alignment horizontal="center" vertical="center"/>
      <protection locked="0"/>
    </xf>
    <xf numFmtId="0" fontId="5" fillId="0" borderId="0" xfId="0" applyFont="1" applyAlignment="1" applyProtection="1">
      <alignment vertical="center"/>
      <protection hidden="1"/>
    </xf>
    <xf numFmtId="0" fontId="5" fillId="0" borderId="175" xfId="0" applyFont="1" applyBorder="1" applyAlignment="1" applyProtection="1">
      <alignment vertical="center"/>
      <protection hidden="1"/>
    </xf>
    <xf numFmtId="0" fontId="5" fillId="0" borderId="178" xfId="0" applyFont="1" applyBorder="1" applyAlignment="1" applyProtection="1">
      <alignment vertical="center"/>
      <protection hidden="1"/>
    </xf>
    <xf numFmtId="0" fontId="5" fillId="0" borderId="181" xfId="0" applyFont="1" applyBorder="1" applyAlignment="1" applyProtection="1">
      <alignment vertical="center"/>
      <protection hidden="1"/>
    </xf>
    <xf numFmtId="0" fontId="4" fillId="0" borderId="183" xfId="0" applyFont="1" applyBorder="1" applyAlignment="1" applyProtection="1">
      <alignment vertical="center"/>
      <protection hidden="1"/>
    </xf>
    <xf numFmtId="0" fontId="4" fillId="0" borderId="0" xfId="0" applyFont="1" applyAlignment="1" applyProtection="1">
      <alignment vertical="center"/>
      <protection hidden="1"/>
    </xf>
    <xf numFmtId="0" fontId="4" fillId="0" borderId="173" xfId="0" applyFont="1" applyBorder="1" applyAlignment="1" applyProtection="1">
      <alignment horizontal="left" vertical="center"/>
      <protection hidden="1"/>
    </xf>
    <xf numFmtId="176" fontId="4" fillId="0" borderId="173" xfId="0" applyNumberFormat="1" applyFont="1" applyBorder="1" applyAlignment="1" applyProtection="1">
      <alignment vertical="center"/>
      <protection hidden="1"/>
    </xf>
    <xf numFmtId="0" fontId="5" fillId="0" borderId="145" xfId="0" applyFont="1" applyBorder="1" applyAlignment="1" applyProtection="1">
      <alignment horizontal="center" vertical="center"/>
      <protection hidden="1"/>
    </xf>
    <xf numFmtId="0" fontId="5" fillId="0" borderId="145" xfId="0" applyFont="1" applyBorder="1" applyAlignment="1" applyProtection="1">
      <alignment vertical="center"/>
      <protection hidden="1"/>
    </xf>
    <xf numFmtId="0" fontId="5" fillId="0" borderId="151" xfId="0" applyFont="1" applyBorder="1" applyAlignment="1" applyProtection="1">
      <alignment horizontal="center" vertical="center"/>
      <protection locked="0"/>
    </xf>
    <xf numFmtId="0" fontId="5" fillId="0" borderId="62" xfId="0" applyFont="1" applyBorder="1" applyAlignment="1" applyProtection="1">
      <alignment vertical="center"/>
      <protection hidden="1"/>
    </xf>
    <xf numFmtId="0" fontId="5" fillId="0" borderId="198" xfId="0" applyFont="1" applyBorder="1" applyAlignment="1" applyProtection="1">
      <alignment vertical="center"/>
      <protection hidden="1"/>
    </xf>
    <xf numFmtId="0" fontId="5" fillId="0" borderId="199" xfId="0" applyFont="1" applyBorder="1" applyAlignment="1" applyProtection="1">
      <alignment vertical="center"/>
      <protection hidden="1"/>
    </xf>
    <xf numFmtId="0" fontId="5" fillId="0" borderId="200" xfId="0" applyFont="1" applyBorder="1" applyAlignment="1" applyProtection="1">
      <alignment vertical="center"/>
      <protection hidden="1"/>
    </xf>
    <xf numFmtId="0" fontId="5" fillId="0" borderId="190" xfId="0" applyFont="1" applyBorder="1" applyAlignment="1" applyProtection="1">
      <alignment vertical="center"/>
      <protection hidden="1"/>
    </xf>
    <xf numFmtId="0" fontId="5" fillId="0" borderId="201" xfId="0" applyFont="1" applyBorder="1" applyAlignment="1" applyProtection="1">
      <alignment vertical="center"/>
      <protection hidden="1"/>
    </xf>
    <xf numFmtId="0" fontId="5" fillId="0" borderId="202" xfId="0" applyFont="1" applyBorder="1" applyAlignment="1" applyProtection="1">
      <alignment vertical="center"/>
      <protection hidden="1"/>
    </xf>
    <xf numFmtId="0" fontId="121" fillId="0" borderId="195" xfId="0" applyFont="1" applyBorder="1" applyAlignment="1" applyProtection="1">
      <alignment horizontal="center" vertical="center"/>
      <protection hidden="1"/>
    </xf>
    <xf numFmtId="0" fontId="121" fillId="0" borderId="196" xfId="0" applyFont="1" applyBorder="1" applyAlignment="1" applyProtection="1">
      <alignment horizontal="center" vertical="center"/>
      <protection hidden="1"/>
    </xf>
    <xf numFmtId="0" fontId="121" fillId="0" borderId="197" xfId="0" applyFont="1" applyBorder="1" applyAlignment="1" applyProtection="1">
      <alignment horizontal="center" vertical="center"/>
      <protection hidden="1"/>
    </xf>
    <xf numFmtId="4" fontId="4" fillId="0" borderId="206" xfId="0" applyNumberFormat="1" applyFont="1" applyBorder="1" applyAlignment="1" applyProtection="1">
      <alignment horizontal="center" vertical="center"/>
      <protection hidden="1"/>
    </xf>
    <xf numFmtId="0" fontId="4" fillId="0" borderId="207" xfId="0" applyFont="1" applyBorder="1" applyAlignment="1" applyProtection="1">
      <alignment horizontal="center" vertical="center"/>
      <protection hidden="1"/>
    </xf>
    <xf numFmtId="0" fontId="4" fillId="0" borderId="208" xfId="0" applyFont="1" applyBorder="1" applyAlignment="1" applyProtection="1">
      <alignment horizontal="center" vertical="center"/>
      <protection hidden="1"/>
    </xf>
    <xf numFmtId="0" fontId="3" fillId="0" borderId="209" xfId="0" applyFont="1" applyBorder="1" applyAlignment="1" applyProtection="1">
      <alignment horizontal="center" vertical="center"/>
      <protection hidden="1"/>
    </xf>
    <xf numFmtId="0" fontId="11" fillId="0" borderId="210" xfId="0" applyFont="1" applyBorder="1" applyAlignment="1" applyProtection="1">
      <alignment horizontal="center" vertical="center"/>
      <protection locked="0"/>
    </xf>
    <xf numFmtId="0" fontId="5" fillId="0" borderId="211" xfId="0" applyFont="1" applyBorder="1" applyAlignment="1" applyProtection="1">
      <alignment vertical="center"/>
      <protection hidden="1"/>
    </xf>
    <xf numFmtId="0" fontId="5" fillId="0" borderId="212" xfId="0" applyFont="1" applyBorder="1" applyAlignment="1" applyProtection="1">
      <alignment vertical="center"/>
      <protection hidden="1"/>
    </xf>
    <xf numFmtId="0" fontId="5" fillId="0" borderId="213" xfId="0" applyFont="1" applyBorder="1" applyAlignment="1" applyProtection="1">
      <alignment vertical="center"/>
      <protection hidden="1"/>
    </xf>
    <xf numFmtId="0" fontId="69" fillId="0" borderId="2" xfId="0" applyFont="1" applyBorder="1" applyAlignment="1">
      <alignment horizontal="right" vertical="center" wrapText="1" readingOrder="2"/>
    </xf>
    <xf numFmtId="0" fontId="43" fillId="26" borderId="167" xfId="0" applyFont="1" applyFill="1" applyBorder="1" applyAlignment="1">
      <alignment horizontal="right" vertical="center"/>
    </xf>
    <xf numFmtId="0" fontId="43" fillId="26" borderId="166" xfId="0" applyFont="1" applyFill="1" applyBorder="1" applyAlignment="1">
      <alignment horizontal="right" vertical="center"/>
    </xf>
    <xf numFmtId="0" fontId="43" fillId="26" borderId="115" xfId="0" applyFont="1" applyFill="1" applyBorder="1" applyAlignment="1">
      <alignment horizontal="right" vertical="center"/>
    </xf>
    <xf numFmtId="14" fontId="0" fillId="0" borderId="78" xfId="0" applyNumberFormat="1" applyBorder="1" applyAlignment="1">
      <alignment horizontal="left" vertical="center" wrapText="1"/>
    </xf>
    <xf numFmtId="14" fontId="0" fillId="0" borderId="61" xfId="0" applyNumberFormat="1" applyBorder="1" applyAlignment="1">
      <alignment horizontal="left" vertical="center" wrapText="1"/>
    </xf>
    <xf numFmtId="14" fontId="0" fillId="0" borderId="66" xfId="0" applyNumberFormat="1" applyBorder="1" applyAlignment="1">
      <alignment horizontal="left" vertical="center" wrapText="1"/>
    </xf>
    <xf numFmtId="0" fontId="4" fillId="2" borderId="78" xfId="0" applyFont="1" applyFill="1" applyBorder="1" applyAlignment="1">
      <alignment horizontal="right" vertical="center" wrapText="1"/>
    </xf>
    <xf numFmtId="0" fontId="38" fillId="2" borderId="78" xfId="0" applyFont="1" applyFill="1" applyBorder="1" applyAlignment="1">
      <alignment horizontal="right" vertical="center" wrapText="1"/>
    </xf>
    <xf numFmtId="0" fontId="4" fillId="2" borderId="78" xfId="0" applyFont="1" applyFill="1" applyBorder="1" applyAlignment="1">
      <alignment horizontal="right" vertical="center"/>
    </xf>
    <xf numFmtId="0" fontId="38" fillId="2" borderId="78" xfId="0" applyFont="1" applyFill="1" applyBorder="1" applyAlignment="1">
      <alignment horizontal="right" vertical="center"/>
    </xf>
    <xf numFmtId="0" fontId="58" fillId="2" borderId="115" xfId="0" applyFont="1" applyFill="1" applyBorder="1" applyAlignment="1">
      <alignment horizontal="center" vertical="center" wrapText="1"/>
    </xf>
    <xf numFmtId="49" fontId="0" fillId="0" borderId="78" xfId="0" applyNumberFormat="1" applyBorder="1" applyAlignment="1">
      <alignment horizontal="right" vertical="center" wrapText="1"/>
    </xf>
    <xf numFmtId="0" fontId="4" fillId="0" borderId="187" xfId="0" applyFont="1" applyBorder="1" applyAlignment="1" applyProtection="1">
      <alignment vertical="center"/>
      <protection locked="0"/>
    </xf>
    <xf numFmtId="0" fontId="23" fillId="0" borderId="188" xfId="0" applyFont="1" applyBorder="1" applyAlignment="1" applyProtection="1">
      <alignment vertical="center"/>
      <protection locked="0"/>
    </xf>
    <xf numFmtId="0" fontId="120" fillId="0" borderId="115" xfId="0" applyFont="1" applyBorder="1" applyAlignment="1" applyProtection="1">
      <alignment horizontal="center" vertical="center"/>
      <protection hidden="1"/>
    </xf>
    <xf numFmtId="0" fontId="93" fillId="0" borderId="0" xfId="0" applyFont="1" applyAlignment="1">
      <alignment vertical="center" readingOrder="2"/>
    </xf>
    <xf numFmtId="0" fontId="92" fillId="0" borderId="0" xfId="0" applyFont="1" applyAlignment="1">
      <alignment vertical="center" readingOrder="2"/>
    </xf>
    <xf numFmtId="14" fontId="93" fillId="0" borderId="0" xfId="0" applyNumberFormat="1" applyFont="1" applyAlignment="1">
      <alignment vertical="center" readingOrder="2"/>
    </xf>
    <xf numFmtId="0" fontId="93" fillId="0" borderId="0" xfId="0" applyFont="1" applyAlignment="1">
      <alignment vertical="center"/>
    </xf>
    <xf numFmtId="0" fontId="93" fillId="0" borderId="0" xfId="0" applyFont="1" applyAlignment="1">
      <alignment horizontal="right" vertical="center" readingOrder="2"/>
    </xf>
    <xf numFmtId="0" fontId="98" fillId="0" borderId="0" xfId="0" applyFont="1" applyAlignment="1">
      <alignment vertical="center" readingOrder="2"/>
    </xf>
    <xf numFmtId="0" fontId="93" fillId="0" borderId="0" xfId="0" applyFont="1" applyAlignment="1">
      <alignment horizontal="center" vertical="center" readingOrder="2"/>
    </xf>
    <xf numFmtId="0" fontId="91" fillId="0" borderId="0" xfId="0" applyFont="1" applyAlignment="1">
      <alignment horizontal="center" vertical="center" readingOrder="2"/>
    </xf>
    <xf numFmtId="0" fontId="92" fillId="0" borderId="0" xfId="0" applyFont="1" applyAlignment="1">
      <alignment horizontal="left" vertical="center" readingOrder="2"/>
    </xf>
    <xf numFmtId="0" fontId="93" fillId="0" borderId="0" xfId="0" applyFont="1"/>
    <xf numFmtId="0" fontId="108" fillId="0" borderId="0" xfId="0" applyFont="1" applyAlignment="1">
      <alignment horizontal="justify" vertical="center" wrapText="1" readingOrder="2"/>
    </xf>
    <xf numFmtId="0" fontId="122" fillId="0" borderId="0" xfId="0" applyFont="1" applyAlignment="1">
      <alignment horizontal="justify" vertical="center" wrapText="1" readingOrder="2"/>
    </xf>
    <xf numFmtId="0" fontId="124" fillId="0" borderId="0" xfId="0" applyFont="1" applyAlignment="1">
      <alignment horizontal="center" vertical="center" wrapText="1" readingOrder="2"/>
    </xf>
    <xf numFmtId="0" fontId="108" fillId="0" borderId="0" xfId="0" applyFont="1" applyAlignment="1">
      <alignment horizontal="right" vertical="center" wrapText="1" readingOrder="2"/>
    </xf>
    <xf numFmtId="0" fontId="52" fillId="0" borderId="0" xfId="0" applyFont="1" applyAlignment="1">
      <alignment horizontal="right" wrapText="1"/>
    </xf>
    <xf numFmtId="14" fontId="0" fillId="0" borderId="85" xfId="0" applyNumberFormat="1" applyBorder="1" applyAlignment="1">
      <alignment horizontal="left" vertical="center" wrapText="1"/>
    </xf>
    <xf numFmtId="0" fontId="11" fillId="0" borderId="183" xfId="0" applyFont="1" applyBorder="1" applyAlignment="1" applyProtection="1">
      <alignment vertical="center"/>
      <protection hidden="1"/>
    </xf>
    <xf numFmtId="0" fontId="3" fillId="0" borderId="220" xfId="0" applyFont="1" applyBorder="1" applyAlignment="1" applyProtection="1">
      <alignment vertical="center"/>
      <protection locked="0"/>
    </xf>
    <xf numFmtId="0" fontId="3" fillId="0" borderId="178" xfId="0" applyFont="1" applyBorder="1" applyAlignment="1" applyProtection="1">
      <alignment vertical="center"/>
      <protection locked="0"/>
    </xf>
    <xf numFmtId="0" fontId="3" fillId="0" borderId="221" xfId="0" applyFont="1" applyBorder="1" applyAlignment="1" applyProtection="1">
      <alignment vertical="center"/>
      <protection locked="0"/>
    </xf>
    <xf numFmtId="0" fontId="5" fillId="0" borderId="220" xfId="0" applyFont="1" applyBorder="1" applyAlignment="1" applyProtection="1">
      <alignment vertical="center"/>
      <protection locked="0"/>
    </xf>
    <xf numFmtId="0" fontId="5" fillId="0" borderId="178" xfId="0" applyFont="1" applyBorder="1" applyAlignment="1" applyProtection="1">
      <alignment vertical="center"/>
      <protection locked="0"/>
    </xf>
    <xf numFmtId="0" fontId="5" fillId="0" borderId="221" xfId="0" applyFont="1" applyBorder="1" applyAlignment="1" applyProtection="1">
      <alignment vertical="center"/>
      <protection locked="0"/>
    </xf>
    <xf numFmtId="0" fontId="23" fillId="0" borderId="183" xfId="0" applyFont="1" applyBorder="1" applyAlignment="1" applyProtection="1">
      <alignment vertical="center"/>
      <protection locked="0"/>
    </xf>
    <xf numFmtId="0" fontId="128" fillId="0" borderId="183" xfId="0" applyFont="1" applyBorder="1" applyAlignment="1" applyProtection="1">
      <alignment vertical="center"/>
      <protection locked="0"/>
    </xf>
    <xf numFmtId="14" fontId="43" fillId="0" borderId="116" xfId="0" applyNumberFormat="1" applyFont="1" applyBorder="1" applyAlignment="1">
      <alignment horizontal="right" vertical="center"/>
    </xf>
    <xf numFmtId="0" fontId="52" fillId="2" borderId="115" xfId="0" applyFont="1" applyFill="1" applyBorder="1" applyAlignment="1">
      <alignment horizontal="right" vertical="center" wrapText="1" readingOrder="2"/>
    </xf>
    <xf numFmtId="0" fontId="52" fillId="0" borderId="115" xfId="0" applyFont="1" applyBorder="1" applyAlignment="1">
      <alignment horizontal="right" vertical="center" wrapText="1" readingOrder="2"/>
    </xf>
    <xf numFmtId="0" fontId="132" fillId="0" borderId="2" xfId="0" applyFont="1" applyBorder="1" applyAlignment="1">
      <alignment horizontal="right" vertical="center" wrapText="1" readingOrder="2"/>
    </xf>
    <xf numFmtId="0" fontId="0" fillId="2" borderId="0" xfId="0" applyFill="1"/>
    <xf numFmtId="0" fontId="2" fillId="2" borderId="0" xfId="0" applyFont="1" applyFill="1"/>
    <xf numFmtId="0" fontId="0" fillId="38" borderId="0" xfId="0" applyFill="1"/>
    <xf numFmtId="0" fontId="6" fillId="33" borderId="0" xfId="0" applyFont="1" applyFill="1"/>
    <xf numFmtId="0" fontId="2" fillId="6" borderId="0" xfId="0" applyFont="1" applyFill="1"/>
    <xf numFmtId="49" fontId="43" fillId="0" borderId="115" xfId="0" applyNumberFormat="1" applyFont="1" applyBorder="1" applyAlignment="1">
      <alignment vertical="center"/>
    </xf>
    <xf numFmtId="49" fontId="43" fillId="0" borderId="168" xfId="0" applyNumberFormat="1" applyFont="1" applyBorder="1" applyAlignment="1">
      <alignment vertical="center"/>
    </xf>
    <xf numFmtId="14" fontId="113" fillId="0" borderId="2" xfId="0" applyNumberFormat="1" applyFont="1" applyBorder="1" applyAlignment="1">
      <alignment horizontal="left" vertical="center" wrapText="1" readingOrder="2"/>
    </xf>
    <xf numFmtId="0" fontId="106" fillId="0" borderId="0" xfId="0" applyFont="1" applyAlignment="1">
      <alignment horizontal="right" vertical="center" wrapText="1" readingOrder="2"/>
    </xf>
    <xf numFmtId="0" fontId="106" fillId="0" borderId="2" xfId="0" applyFont="1" applyBorder="1" applyAlignment="1">
      <alignment horizontal="center" vertical="center" wrapText="1" readingOrder="2"/>
    </xf>
    <xf numFmtId="0" fontId="106" fillId="0" borderId="2" xfId="0" applyFont="1" applyBorder="1" applyAlignment="1">
      <alignment horizontal="right" vertical="center" wrapText="1" readingOrder="2"/>
    </xf>
    <xf numFmtId="14" fontId="43" fillId="0" borderId="169" xfId="0" applyNumberFormat="1" applyFont="1" applyBorder="1" applyAlignment="1">
      <alignment horizontal="right" vertical="center"/>
    </xf>
    <xf numFmtId="0" fontId="93" fillId="0" borderId="2" xfId="0" applyFont="1" applyBorder="1" applyAlignment="1">
      <alignment horizontal="right" vertical="center" wrapText="1"/>
    </xf>
    <xf numFmtId="0" fontId="114" fillId="0" borderId="0" xfId="0" applyFont="1" applyAlignment="1">
      <alignment vertical="center" wrapText="1"/>
    </xf>
    <xf numFmtId="0" fontId="113" fillId="0" borderId="2" xfId="0" applyFont="1" applyBorder="1" applyAlignment="1">
      <alignment horizontal="center" vertical="center" wrapText="1" readingOrder="2"/>
    </xf>
    <xf numFmtId="14" fontId="113" fillId="0" borderId="2" xfId="0" applyNumberFormat="1" applyFont="1" applyBorder="1" applyAlignment="1">
      <alignment horizontal="center" vertical="center" wrapText="1" readingOrder="2"/>
    </xf>
    <xf numFmtId="0" fontId="93" fillId="0" borderId="2" xfId="0" applyFont="1" applyBorder="1" applyAlignment="1">
      <alignment horizontal="center" vertical="center" wrapText="1" readingOrder="2"/>
    </xf>
    <xf numFmtId="0" fontId="3" fillId="39" borderId="109" xfId="4" applyFont="1" applyFill="1" applyBorder="1" applyAlignment="1">
      <alignment horizontal="center"/>
    </xf>
    <xf numFmtId="165" fontId="4" fillId="39" borderId="5" xfId="2" applyNumberFormat="1" applyFont="1" applyFill="1" applyBorder="1"/>
    <xf numFmtId="165" fontId="3" fillId="39" borderId="12" xfId="2" applyNumberFormat="1" applyFont="1" applyFill="1" applyBorder="1"/>
    <xf numFmtId="0" fontId="3" fillId="39" borderId="31" xfId="2" applyNumberFormat="1" applyFont="1" applyFill="1" applyBorder="1" applyAlignment="1">
      <alignment vertical="center"/>
    </xf>
    <xf numFmtId="17" fontId="3" fillId="39" borderId="8" xfId="4" applyNumberFormat="1" applyFont="1" applyFill="1" applyBorder="1"/>
    <xf numFmtId="171" fontId="3" fillId="39" borderId="62" xfId="6" applyNumberFormat="1" applyFont="1" applyFill="1" applyBorder="1" applyAlignment="1">
      <alignment horizontal="center"/>
    </xf>
    <xf numFmtId="0" fontId="7" fillId="39" borderId="109" xfId="0" applyFont="1" applyFill="1" applyBorder="1" applyAlignment="1">
      <alignment horizontal="center"/>
    </xf>
    <xf numFmtId="165" fontId="11" fillId="39" borderId="2" xfId="2" applyNumberFormat="1" applyFont="1" applyFill="1" applyBorder="1" applyAlignment="1">
      <alignment horizontal="center"/>
    </xf>
    <xf numFmtId="165" fontId="11" fillId="39" borderId="2" xfId="2" applyNumberFormat="1" applyFont="1" applyFill="1" applyBorder="1"/>
    <xf numFmtId="0" fontId="11" fillId="39" borderId="25" xfId="4" applyFont="1" applyFill="1" applyBorder="1" applyAlignment="1">
      <alignment horizontal="center"/>
    </xf>
    <xf numFmtId="0" fontId="11" fillId="39" borderId="25" xfId="4" applyFont="1" applyFill="1" applyBorder="1"/>
    <xf numFmtId="0" fontId="11" fillId="39" borderId="28" xfId="4" applyFont="1" applyFill="1" applyBorder="1"/>
    <xf numFmtId="0" fontId="3" fillId="0" borderId="222" xfId="4" applyFont="1" applyBorder="1" applyAlignment="1">
      <alignment horizontal="center"/>
    </xf>
    <xf numFmtId="17" fontId="3" fillId="0" borderId="223" xfId="6" applyNumberFormat="1" applyFont="1" applyBorder="1"/>
    <xf numFmtId="0" fontId="3" fillId="0" borderId="30" xfId="4" applyFont="1" applyBorder="1"/>
    <xf numFmtId="38" fontId="7" fillId="39" borderId="62" xfId="0" applyNumberFormat="1" applyFont="1" applyFill="1" applyBorder="1" applyAlignment="1">
      <alignment horizontal="center"/>
    </xf>
    <xf numFmtId="0" fontId="7" fillId="0" borderId="61" xfId="0" applyFont="1" applyBorder="1" applyAlignment="1">
      <alignment horizontal="center"/>
    </xf>
    <xf numFmtId="0" fontId="4" fillId="0" borderId="85" xfId="0" applyFont="1" applyBorder="1" applyAlignment="1">
      <alignment horizontal="right" vertical="center" readingOrder="2"/>
    </xf>
    <xf numFmtId="0" fontId="3" fillId="8" borderId="62" xfId="4" applyFont="1" applyFill="1" applyBorder="1" applyAlignment="1">
      <alignment horizontal="center"/>
    </xf>
    <xf numFmtId="0" fontId="134" fillId="0" borderId="11" xfId="0" applyFont="1" applyBorder="1" applyAlignment="1">
      <alignment horizontal="right" vertical="center"/>
    </xf>
    <xf numFmtId="165" fontId="133" fillId="0" borderId="12" xfId="0" applyNumberFormat="1" applyFont="1" applyBorder="1" applyAlignment="1">
      <alignment horizontal="right" vertical="center"/>
    </xf>
    <xf numFmtId="0" fontId="11" fillId="8" borderId="6" xfId="0" applyFont="1" applyFill="1" applyBorder="1" applyAlignment="1">
      <alignment vertical="center" wrapText="1"/>
    </xf>
    <xf numFmtId="0" fontId="3" fillId="0" borderId="7" xfId="4" applyFont="1" applyBorder="1"/>
    <xf numFmtId="0" fontId="11" fillId="2" borderId="20" xfId="4" applyFont="1" applyFill="1" applyBorder="1" applyAlignment="1">
      <alignment horizontal="center"/>
    </xf>
    <xf numFmtId="174" fontId="0" fillId="0" borderId="77" xfId="0" applyNumberFormat="1" applyBorder="1" applyAlignment="1">
      <alignment horizontal="right" vertical="center" readingOrder="2"/>
    </xf>
    <xf numFmtId="0" fontId="3" fillId="0" borderId="61" xfId="4" applyFont="1" applyBorder="1"/>
    <xf numFmtId="0" fontId="7" fillId="39" borderId="62" xfId="0" applyFont="1" applyFill="1" applyBorder="1" applyAlignment="1">
      <alignment horizontal="center"/>
    </xf>
    <xf numFmtId="0" fontId="39" fillId="4" borderId="4" xfId="0" applyFont="1" applyFill="1" applyBorder="1" applyAlignment="1">
      <alignment horizontal="center" vertical="center"/>
    </xf>
    <xf numFmtId="0" fontId="39" fillId="4" borderId="1" xfId="0" applyFont="1" applyFill="1" applyBorder="1" applyAlignment="1">
      <alignment horizontal="center" vertical="center"/>
    </xf>
    <xf numFmtId="0" fontId="39" fillId="4" borderId="5" xfId="0" applyFont="1" applyFill="1" applyBorder="1" applyAlignment="1">
      <alignment horizontal="center" vertical="center"/>
    </xf>
    <xf numFmtId="41" fontId="5" fillId="0" borderId="220" xfId="0" applyNumberFormat="1" applyFont="1" applyBorder="1" applyAlignment="1" applyProtection="1">
      <alignment vertical="center"/>
      <protection locked="0"/>
    </xf>
    <xf numFmtId="0" fontId="8" fillId="0" borderId="109" xfId="0" applyFont="1" applyBorder="1" applyAlignment="1">
      <alignment horizontal="center"/>
    </xf>
    <xf numFmtId="0" fontId="3" fillId="8" borderId="62" xfId="2" applyNumberFormat="1" applyFont="1" applyFill="1" applyBorder="1" applyAlignment="1">
      <alignment horizontal="center"/>
    </xf>
    <xf numFmtId="165" fontId="11" fillId="40" borderId="224" xfId="4" applyNumberFormat="1" applyFont="1" applyFill="1" applyBorder="1"/>
    <xf numFmtId="0" fontId="31" fillId="2" borderId="189" xfId="4" applyFont="1" applyFill="1" applyBorder="1" applyAlignment="1">
      <alignment horizontal="right" vertical="center"/>
    </xf>
    <xf numFmtId="0" fontId="31" fillId="2" borderId="225" xfId="4" applyFont="1" applyFill="1" applyBorder="1" applyAlignment="1">
      <alignment horizontal="right" vertical="center"/>
    </xf>
    <xf numFmtId="0" fontId="31" fillId="2" borderId="162" xfId="4" applyFont="1" applyFill="1" applyBorder="1" applyAlignment="1">
      <alignment horizontal="right" vertical="center"/>
    </xf>
    <xf numFmtId="0" fontId="66" fillId="0" borderId="189" xfId="4" applyFont="1" applyBorder="1" applyAlignment="1">
      <alignment horizontal="right" vertical="center"/>
    </xf>
    <xf numFmtId="167" fontId="66" fillId="0" borderId="225" xfId="4" applyNumberFormat="1" applyFont="1" applyBorder="1" applyAlignment="1">
      <alignment horizontal="right" vertical="center"/>
    </xf>
    <xf numFmtId="0" fontId="2" fillId="0" borderId="0" xfId="0" applyFont="1" applyAlignment="1">
      <alignment vertical="center"/>
    </xf>
    <xf numFmtId="0" fontId="5" fillId="0" borderId="0" xfId="0" applyFont="1" applyBorder="1"/>
    <xf numFmtId="0" fontId="4" fillId="2" borderId="5" xfId="0" applyFont="1" applyFill="1" applyBorder="1"/>
    <xf numFmtId="0" fontId="5" fillId="0" borderId="3" xfId="0" applyFont="1" applyBorder="1" applyAlignment="1">
      <alignment wrapText="1"/>
    </xf>
    <xf numFmtId="0" fontId="5" fillId="0" borderId="12" xfId="0" applyFont="1" applyBorder="1"/>
    <xf numFmtId="0" fontId="5" fillId="0" borderId="7" xfId="0" applyFont="1" applyBorder="1"/>
    <xf numFmtId="0" fontId="0" fillId="0" borderId="0" xfId="0" applyBorder="1" applyAlignment="1">
      <alignment horizontal="center" vertical="center"/>
    </xf>
    <xf numFmtId="0" fontId="0" fillId="0" borderId="0" xfId="0" applyAlignment="1">
      <alignment horizontal="left" vertical="center" wrapText="1"/>
    </xf>
    <xf numFmtId="0" fontId="0" fillId="0" borderId="0" xfId="0" applyBorder="1" applyAlignment="1">
      <alignment vertical="center"/>
    </xf>
    <xf numFmtId="9" fontId="0" fillId="0" borderId="0" xfId="1" applyFont="1" applyBorder="1" applyAlignment="1">
      <alignment vertical="center"/>
    </xf>
    <xf numFmtId="9" fontId="0" fillId="0" borderId="0" xfId="1" applyNumberFormat="1" applyFont="1" applyBorder="1" applyAlignment="1">
      <alignment vertical="center"/>
    </xf>
    <xf numFmtId="0" fontId="5" fillId="0" borderId="0" xfId="0" applyFont="1" applyBorder="1" applyAlignment="1">
      <alignment vertical="center"/>
    </xf>
    <xf numFmtId="0" fontId="0" fillId="0" borderId="0" xfId="0" applyFill="1" applyBorder="1" applyAlignment="1">
      <alignment vertical="center"/>
    </xf>
    <xf numFmtId="10" fontId="0" fillId="0" borderId="0" xfId="0" applyNumberFormat="1" applyBorder="1" applyAlignment="1">
      <alignment vertical="center"/>
    </xf>
    <xf numFmtId="0" fontId="0" fillId="0" borderId="0" xfId="0" applyBorder="1" applyAlignment="1">
      <alignment horizontal="right" vertical="center"/>
    </xf>
    <xf numFmtId="0" fontId="0" fillId="0" borderId="0" xfId="0" applyAlignment="1">
      <alignment horizontal="center" vertical="center"/>
    </xf>
    <xf numFmtId="0" fontId="0" fillId="0" borderId="0" xfId="0" applyNumberFormat="1" applyBorder="1" applyAlignment="1">
      <alignment vertical="center"/>
    </xf>
    <xf numFmtId="1" fontId="0" fillId="0" borderId="0" xfId="0" applyNumberFormat="1" applyBorder="1" applyAlignment="1">
      <alignment vertical="center"/>
    </xf>
    <xf numFmtId="9" fontId="0" fillId="0" borderId="0" xfId="1" applyFont="1" applyBorder="1" applyAlignment="1">
      <alignment horizontal="center" vertical="center"/>
    </xf>
    <xf numFmtId="0" fontId="2" fillId="41" borderId="153" xfId="0" applyFont="1" applyFill="1" applyBorder="1" applyAlignment="1">
      <alignment vertical="center"/>
    </xf>
    <xf numFmtId="0" fontId="2" fillId="41" borderId="226" xfId="0" applyFont="1" applyFill="1" applyBorder="1" applyAlignment="1">
      <alignment vertical="center"/>
    </xf>
    <xf numFmtId="0" fontId="2" fillId="41" borderId="227" xfId="0" applyFont="1" applyFill="1" applyBorder="1" applyAlignment="1">
      <alignment vertical="center"/>
    </xf>
    <xf numFmtId="0" fontId="2" fillId="41" borderId="228" xfId="0" applyFont="1" applyFill="1" applyBorder="1" applyAlignment="1">
      <alignment vertical="center"/>
    </xf>
    <xf numFmtId="0" fontId="2" fillId="41" borderId="61" xfId="0" applyFont="1" applyFill="1" applyBorder="1" applyAlignment="1">
      <alignment horizontal="center" vertical="center"/>
    </xf>
    <xf numFmtId="9" fontId="0" fillId="0" borderId="153" xfId="0" applyNumberFormat="1" applyFont="1" applyBorder="1" applyAlignment="1">
      <alignment horizontal="center" vertical="center"/>
    </xf>
    <xf numFmtId="9" fontId="0" fillId="0" borderId="61" xfId="0" applyNumberFormat="1" applyFont="1" applyBorder="1" applyAlignment="1">
      <alignment horizontal="center" vertical="center"/>
    </xf>
    <xf numFmtId="0" fontId="2" fillId="41" borderId="189" xfId="0" applyFont="1" applyFill="1" applyBorder="1" applyAlignment="1">
      <alignment vertical="center"/>
    </xf>
    <xf numFmtId="0" fontId="2" fillId="41" borderId="74" xfId="0" applyFont="1" applyFill="1" applyBorder="1" applyAlignment="1">
      <alignment vertical="center"/>
    </xf>
    <xf numFmtId="0" fontId="2" fillId="41" borderId="162" xfId="0" applyFont="1" applyFill="1" applyBorder="1" applyAlignment="1">
      <alignment vertical="center"/>
    </xf>
    <xf numFmtId="0" fontId="2" fillId="0" borderId="145" xfId="0" applyFont="1" applyBorder="1" applyAlignment="1">
      <alignment vertical="center"/>
    </xf>
    <xf numFmtId="9" fontId="0" fillId="0" borderId="155" xfId="0" applyNumberFormat="1" applyBorder="1" applyAlignment="1">
      <alignment vertical="center"/>
    </xf>
    <xf numFmtId="0" fontId="0" fillId="0" borderId="145" xfId="0" applyBorder="1" applyAlignment="1">
      <alignment vertical="center"/>
    </xf>
    <xf numFmtId="0" fontId="0" fillId="0" borderId="151" xfId="0" applyBorder="1" applyAlignment="1">
      <alignment vertical="center"/>
    </xf>
    <xf numFmtId="0" fontId="0" fillId="0" borderId="62" xfId="0" applyBorder="1" applyAlignment="1">
      <alignment vertical="center"/>
    </xf>
    <xf numFmtId="9" fontId="0" fillId="0" borderId="62" xfId="1" applyFont="1" applyBorder="1" applyAlignment="1">
      <alignment vertical="center"/>
    </xf>
    <xf numFmtId="9" fontId="0" fillId="0" borderId="156" xfId="0" applyNumberFormat="1" applyBorder="1" applyAlignment="1">
      <alignment vertical="center"/>
    </xf>
    <xf numFmtId="0" fontId="2" fillId="0" borderId="153" xfId="0" applyFont="1" applyBorder="1" applyAlignment="1">
      <alignment vertical="center"/>
    </xf>
    <xf numFmtId="0" fontId="0" fillId="0" borderId="61" xfId="0" applyBorder="1" applyAlignment="1">
      <alignment vertical="center"/>
    </xf>
    <xf numFmtId="1" fontId="0" fillId="0" borderId="61" xfId="0" applyNumberFormat="1" applyBorder="1" applyAlignment="1">
      <alignment vertical="center"/>
    </xf>
    <xf numFmtId="9" fontId="0" fillId="0" borderId="61" xfId="1" applyFont="1" applyBorder="1" applyAlignment="1">
      <alignment vertical="center"/>
    </xf>
    <xf numFmtId="9" fontId="0" fillId="0" borderId="154" xfId="0" applyNumberFormat="1" applyBorder="1" applyAlignment="1">
      <alignment vertical="center"/>
    </xf>
    <xf numFmtId="9" fontId="0" fillId="0" borderId="61" xfId="1" applyNumberFormat="1" applyFont="1" applyBorder="1" applyAlignment="1">
      <alignment vertical="center"/>
    </xf>
    <xf numFmtId="0" fontId="0" fillId="0" borderId="62" xfId="0" applyBorder="1" applyAlignment="1">
      <alignment horizontal="right" vertical="center"/>
    </xf>
    <xf numFmtId="10" fontId="0" fillId="0" borderId="62" xfId="0" applyNumberFormat="1" applyBorder="1" applyAlignment="1">
      <alignment vertical="center"/>
    </xf>
    <xf numFmtId="9" fontId="0" fillId="0" borderId="62" xfId="1" applyNumberFormat="1" applyFont="1" applyBorder="1" applyAlignment="1">
      <alignment vertical="center"/>
    </xf>
    <xf numFmtId="0" fontId="0" fillId="0" borderId="155" xfId="0" applyBorder="1" applyAlignment="1">
      <alignment horizontal="right" vertical="center"/>
    </xf>
    <xf numFmtId="0" fontId="0" fillId="0" borderId="155" xfId="0" applyBorder="1" applyAlignment="1">
      <alignment vertical="center"/>
    </xf>
    <xf numFmtId="0" fontId="0" fillId="0" borderId="145" xfId="0" applyBorder="1" applyAlignment="1">
      <alignment horizontal="right" vertical="center" wrapText="1" readingOrder="2"/>
    </xf>
    <xf numFmtId="0" fontId="0" fillId="0" borderId="0" xfId="0" applyBorder="1" applyAlignment="1">
      <alignment horizontal="right" vertical="center" wrapText="1" readingOrder="2"/>
    </xf>
    <xf numFmtId="0" fontId="0" fillId="12" borderId="0" xfId="0" applyNumberFormat="1" applyFill="1" applyBorder="1" applyAlignment="1">
      <alignment horizontal="center" vertical="center"/>
    </xf>
    <xf numFmtId="0" fontId="2" fillId="12" borderId="0" xfId="0" applyNumberFormat="1" applyFont="1" applyFill="1" applyBorder="1" applyAlignment="1">
      <alignment horizontal="center" vertical="center"/>
    </xf>
    <xf numFmtId="0" fontId="2" fillId="12" borderId="227" xfId="0" applyNumberFormat="1" applyFont="1" applyFill="1" applyBorder="1" applyAlignment="1">
      <alignment horizontal="center" vertical="center"/>
    </xf>
    <xf numFmtId="0" fontId="0" fillId="12" borderId="155" xfId="0" applyNumberFormat="1" applyFill="1" applyBorder="1" applyAlignment="1">
      <alignment horizontal="center" vertical="center"/>
    </xf>
    <xf numFmtId="0" fontId="26" fillId="42" borderId="229" xfId="0" applyFont="1" applyFill="1" applyBorder="1" applyAlignment="1">
      <alignment horizontal="center" vertical="center"/>
    </xf>
    <xf numFmtId="9" fontId="0" fillId="0" borderId="154" xfId="0" applyNumberFormat="1" applyFont="1" applyBorder="1" applyAlignment="1">
      <alignment horizontal="center" vertical="center"/>
    </xf>
    <xf numFmtId="9" fontId="0" fillId="0" borderId="155" xfId="1" applyFont="1" applyBorder="1" applyAlignment="1">
      <alignment horizontal="center" vertical="center"/>
    </xf>
    <xf numFmtId="9" fontId="26" fillId="0" borderId="237" xfId="1" applyFont="1" applyBorder="1" applyAlignment="1">
      <alignment horizontal="center" vertical="center"/>
    </xf>
    <xf numFmtId="9" fontId="2" fillId="0" borderId="151" xfId="1" applyFont="1" applyBorder="1" applyAlignment="1">
      <alignment horizontal="center" vertical="center"/>
    </xf>
    <xf numFmtId="9" fontId="2" fillId="0" borderId="62" xfId="1" applyFont="1" applyBorder="1" applyAlignment="1">
      <alignment horizontal="center" vertical="center"/>
    </xf>
    <xf numFmtId="9" fontId="0" fillId="0" borderId="62" xfId="0" applyNumberFormat="1" applyBorder="1" applyAlignment="1">
      <alignment vertical="center"/>
    </xf>
    <xf numFmtId="9" fontId="0" fillId="0" borderId="0" xfId="0" applyNumberFormat="1" applyFill="1" applyBorder="1" applyAlignment="1">
      <alignment vertical="center"/>
    </xf>
    <xf numFmtId="0" fontId="0" fillId="0" borderId="0" xfId="0" applyNumberFormat="1" applyFill="1" applyBorder="1" applyAlignment="1">
      <alignment vertical="center"/>
    </xf>
    <xf numFmtId="0" fontId="26" fillId="0" borderId="233" xfId="0" applyFont="1" applyBorder="1" applyAlignment="1">
      <alignment horizontal="center" vertical="center"/>
    </xf>
    <xf numFmtId="0" fontId="26" fillId="0" borderId="234" xfId="0" applyFont="1" applyBorder="1" applyAlignment="1">
      <alignment horizontal="center" vertical="center"/>
    </xf>
    <xf numFmtId="0" fontId="26" fillId="0" borderId="235" xfId="0" applyFont="1" applyBorder="1" applyAlignment="1">
      <alignment horizontal="center" vertical="center"/>
    </xf>
    <xf numFmtId="0" fontId="26" fillId="0" borderId="236" xfId="0" applyFont="1" applyBorder="1" applyAlignment="1">
      <alignment horizontal="center" vertical="center"/>
    </xf>
    <xf numFmtId="41" fontId="0" fillId="0" borderId="62" xfId="0" applyNumberFormat="1" applyBorder="1" applyAlignment="1">
      <alignment horizontal="right" vertical="center" readingOrder="2"/>
    </xf>
    <xf numFmtId="41" fontId="0" fillId="0" borderId="0" xfId="0" applyNumberFormat="1" applyFill="1" applyBorder="1" applyAlignment="1">
      <alignment vertical="center"/>
    </xf>
    <xf numFmtId="41" fontId="0" fillId="0" borderId="62" xfId="0" applyNumberFormat="1" applyFill="1" applyBorder="1" applyAlignment="1">
      <alignment vertical="center"/>
    </xf>
    <xf numFmtId="0" fontId="8" fillId="0" borderId="0" xfId="0" applyFont="1" applyBorder="1" applyAlignment="1">
      <alignment vertical="center"/>
    </xf>
    <xf numFmtId="0" fontId="2" fillId="41" borderId="61" xfId="0" applyFont="1" applyFill="1" applyBorder="1" applyAlignment="1">
      <alignment horizontal="center" vertical="center"/>
    </xf>
    <xf numFmtId="0" fontId="2" fillId="41" borderId="154" xfId="0" applyFont="1" applyFill="1" applyBorder="1" applyAlignment="1">
      <alignment horizontal="center" vertical="center"/>
    </xf>
    <xf numFmtId="174" fontId="0" fillId="0" borderId="0" xfId="0" applyNumberFormat="1" applyBorder="1" applyAlignment="1">
      <alignment horizontal="right" vertical="center"/>
    </xf>
    <xf numFmtId="0" fontId="2" fillId="41" borderId="61" xfId="0" applyFont="1" applyFill="1" applyBorder="1" applyAlignment="1">
      <alignment horizontal="center" vertical="center"/>
    </xf>
    <xf numFmtId="0" fontId="2" fillId="41" borderId="154" xfId="0" applyFont="1" applyFill="1" applyBorder="1" applyAlignment="1">
      <alignment horizontal="center" vertical="center"/>
    </xf>
    <xf numFmtId="9" fontId="0" fillId="0" borderId="62" xfId="1" applyFont="1" applyBorder="1" applyAlignment="1">
      <alignment horizontal="center" vertical="center"/>
    </xf>
    <xf numFmtId="9" fontId="0" fillId="0" borderId="156" xfId="1" applyFont="1" applyBorder="1" applyAlignment="1">
      <alignment horizontal="center" vertical="center"/>
    </xf>
    <xf numFmtId="0" fontId="135" fillId="31" borderId="74" xfId="0" applyFont="1" applyFill="1" applyBorder="1" applyAlignment="1">
      <alignment vertical="center"/>
    </xf>
    <xf numFmtId="0" fontId="135" fillId="31" borderId="162" xfId="0" applyFont="1" applyFill="1" applyBorder="1" applyAlignment="1">
      <alignment vertical="center"/>
    </xf>
    <xf numFmtId="174" fontId="0" fillId="0" borderId="155" xfId="0" applyNumberFormat="1" applyBorder="1" applyAlignment="1">
      <alignment horizontal="right" vertical="center"/>
    </xf>
    <xf numFmtId="0" fontId="30" fillId="0" borderId="0" xfId="0" applyFont="1" applyBorder="1" applyAlignment="1">
      <alignment vertical="center" wrapText="1" readingOrder="2"/>
    </xf>
    <xf numFmtId="0" fontId="30" fillId="0" borderId="0" xfId="0" applyFont="1" applyBorder="1" applyAlignment="1">
      <alignment vertical="center" readingOrder="2"/>
    </xf>
    <xf numFmtId="0" fontId="0" fillId="0" borderId="0" xfId="0" applyBorder="1" applyAlignment="1">
      <alignment vertical="center" readingOrder="2"/>
    </xf>
    <xf numFmtId="0" fontId="26" fillId="0" borderId="234" xfId="0" applyFont="1" applyBorder="1" applyAlignment="1">
      <alignment horizontal="right" vertical="center"/>
    </xf>
    <xf numFmtId="0" fontId="2" fillId="41" borderId="153" xfId="0" applyFont="1" applyFill="1" applyBorder="1" applyAlignment="1">
      <alignment horizontal="right" vertical="center"/>
    </xf>
    <xf numFmtId="0" fontId="2" fillId="41" borderId="61" xfId="0" applyFont="1" applyFill="1" applyBorder="1" applyAlignment="1">
      <alignment horizontal="right" vertical="center"/>
    </xf>
    <xf numFmtId="0" fontId="2" fillId="41" borderId="226" xfId="0" applyFont="1" applyFill="1" applyBorder="1" applyAlignment="1">
      <alignment horizontal="right" vertical="center"/>
    </xf>
    <xf numFmtId="9" fontId="0" fillId="0" borderId="153" xfId="0" applyNumberFormat="1" applyFont="1" applyBorder="1" applyAlignment="1">
      <alignment horizontal="right" vertical="center"/>
    </xf>
    <xf numFmtId="9" fontId="0" fillId="0" borderId="61" xfId="0" applyNumberFormat="1" applyFont="1" applyBorder="1" applyAlignment="1">
      <alignment horizontal="right" vertical="center"/>
    </xf>
    <xf numFmtId="0" fontId="2" fillId="12" borderId="227" xfId="0" applyNumberFormat="1" applyFont="1" applyFill="1" applyBorder="1" applyAlignment="1">
      <alignment horizontal="right" vertical="center"/>
    </xf>
    <xf numFmtId="0" fontId="0" fillId="12" borderId="0" xfId="0" applyNumberFormat="1" applyFill="1" applyBorder="1" applyAlignment="1">
      <alignment horizontal="right" vertical="center"/>
    </xf>
    <xf numFmtId="0" fontId="2" fillId="12" borderId="0" xfId="0" applyNumberFormat="1" applyFont="1" applyFill="1" applyBorder="1" applyAlignment="1">
      <alignment horizontal="right" vertical="center"/>
    </xf>
    <xf numFmtId="0" fontId="2" fillId="41" borderId="227" xfId="0" applyFont="1" applyFill="1" applyBorder="1" applyAlignment="1">
      <alignment horizontal="right" vertical="center"/>
    </xf>
    <xf numFmtId="9" fontId="0" fillId="0" borderId="0" xfId="1" applyFont="1" applyBorder="1" applyAlignment="1">
      <alignment horizontal="right" vertical="center"/>
    </xf>
    <xf numFmtId="0" fontId="2" fillId="41" borderId="228" xfId="0" applyFont="1" applyFill="1" applyBorder="1" applyAlignment="1">
      <alignment horizontal="right" vertical="center"/>
    </xf>
    <xf numFmtId="9" fontId="2" fillId="0" borderId="151" xfId="1" applyFont="1" applyBorder="1" applyAlignment="1">
      <alignment horizontal="right" vertical="center"/>
    </xf>
    <xf numFmtId="9" fontId="2" fillId="0" borderId="62" xfId="1" applyFont="1" applyBorder="1" applyAlignment="1">
      <alignment horizontal="right" vertical="center"/>
    </xf>
    <xf numFmtId="0" fontId="2" fillId="41" borderId="189" xfId="0" applyFont="1" applyFill="1" applyBorder="1" applyAlignment="1">
      <alignment horizontal="right" vertical="center"/>
    </xf>
    <xf numFmtId="0" fontId="2" fillId="41" borderId="162" xfId="0" applyFont="1" applyFill="1" applyBorder="1" applyAlignment="1">
      <alignment horizontal="right" vertical="center"/>
    </xf>
    <xf numFmtId="0" fontId="2" fillId="0" borderId="145" xfId="0" applyFont="1" applyBorder="1" applyAlignment="1">
      <alignment horizontal="right" vertical="center"/>
    </xf>
    <xf numFmtId="0" fontId="0" fillId="0" borderId="145" xfId="0" applyBorder="1" applyAlignment="1">
      <alignment horizontal="right" vertical="center"/>
    </xf>
    <xf numFmtId="0" fontId="8" fillId="0" borderId="155" xfId="0" applyFont="1" applyBorder="1" applyAlignment="1">
      <alignment horizontal="right" vertical="center"/>
    </xf>
    <xf numFmtId="9" fontId="0" fillId="0" borderId="155" xfId="0" applyNumberFormat="1" applyFill="1" applyBorder="1" applyAlignment="1">
      <alignment horizontal="right" vertical="center"/>
    </xf>
    <xf numFmtId="0" fontId="0" fillId="0" borderId="151" xfId="0" applyBorder="1" applyAlignment="1">
      <alignment horizontal="right" vertical="center"/>
    </xf>
    <xf numFmtId="0" fontId="2" fillId="0" borderId="153" xfId="0" applyFont="1" applyBorder="1" applyAlignment="1">
      <alignment horizontal="right" vertical="center"/>
    </xf>
    <xf numFmtId="0" fontId="0" fillId="0" borderId="61" xfId="0" applyBorder="1" applyAlignment="1">
      <alignment horizontal="right" vertical="center"/>
    </xf>
    <xf numFmtId="1" fontId="0" fillId="0" borderId="154" xfId="0" applyNumberFormat="1" applyBorder="1" applyAlignment="1">
      <alignment horizontal="right" vertical="center"/>
    </xf>
    <xf numFmtId="41" fontId="0" fillId="0" borderId="156" xfId="0" applyNumberFormat="1" applyFill="1" applyBorder="1" applyAlignment="1">
      <alignment horizontal="right" vertical="center"/>
    </xf>
    <xf numFmtId="0" fontId="0" fillId="0" borderId="154" xfId="0" applyBorder="1" applyAlignment="1">
      <alignment horizontal="right" vertical="center"/>
    </xf>
    <xf numFmtId="10" fontId="0" fillId="0" borderId="155" xfId="0" applyNumberFormat="1" applyBorder="1" applyAlignment="1">
      <alignment horizontal="right" vertical="center"/>
    </xf>
    <xf numFmtId="10" fontId="0" fillId="0" borderId="156" xfId="0" applyNumberFormat="1" applyBorder="1" applyAlignment="1">
      <alignment horizontal="right" vertical="center"/>
    </xf>
    <xf numFmtId="0" fontId="0" fillId="0" borderId="155" xfId="0" applyNumberFormat="1" applyBorder="1" applyAlignment="1">
      <alignment horizontal="right" vertical="center"/>
    </xf>
    <xf numFmtId="9" fontId="0" fillId="0" borderId="156" xfId="0" applyNumberFormat="1" applyBorder="1" applyAlignment="1">
      <alignment horizontal="right" vertical="center"/>
    </xf>
    <xf numFmtId="0" fontId="30" fillId="0" borderId="233" xfId="0" applyFont="1" applyBorder="1" applyAlignment="1">
      <alignment horizontal="right" vertical="center"/>
    </xf>
    <xf numFmtId="0" fontId="30" fillId="0" borderId="235" xfId="0" applyFont="1" applyBorder="1" applyAlignment="1">
      <alignment horizontal="right" vertical="center"/>
    </xf>
    <xf numFmtId="1" fontId="30" fillId="0" borderId="155" xfId="0" applyNumberFormat="1" applyFont="1" applyBorder="1" applyAlignment="1">
      <alignment horizontal="right" vertical="center"/>
    </xf>
    <xf numFmtId="0" fontId="30" fillId="0" borderId="155" xfId="0" applyFont="1" applyBorder="1" applyAlignment="1">
      <alignment horizontal="right" vertical="center"/>
    </xf>
    <xf numFmtId="174" fontId="30" fillId="0" borderId="155" xfId="0" applyNumberFormat="1" applyFont="1" applyBorder="1" applyAlignment="1">
      <alignment horizontal="right" vertical="center"/>
    </xf>
    <xf numFmtId="9" fontId="30" fillId="0" borderId="155" xfId="0" applyNumberFormat="1" applyFont="1" applyFill="1" applyBorder="1" applyAlignment="1">
      <alignment horizontal="right" vertical="center"/>
    </xf>
    <xf numFmtId="0" fontId="30" fillId="0" borderId="155" xfId="0" applyNumberFormat="1" applyFont="1" applyFill="1" applyBorder="1" applyAlignment="1">
      <alignment horizontal="right" vertical="center"/>
    </xf>
    <xf numFmtId="41" fontId="30" fillId="0" borderId="156" xfId="0" applyNumberFormat="1" applyFont="1" applyBorder="1" applyAlignment="1">
      <alignment horizontal="right" vertical="center" readingOrder="2"/>
    </xf>
    <xf numFmtId="0" fontId="30" fillId="0" borderId="145" xfId="0" applyFont="1" applyBorder="1" applyAlignment="1">
      <alignment horizontal="right" vertical="center"/>
    </xf>
    <xf numFmtId="0" fontId="30" fillId="0" borderId="151" xfId="0" applyFont="1" applyBorder="1" applyAlignment="1">
      <alignment horizontal="right" vertical="center"/>
    </xf>
    <xf numFmtId="0" fontId="0" fillId="0" borderId="153" xfId="0" applyBorder="1" applyAlignment="1">
      <alignment horizontal="right" vertical="center"/>
    </xf>
    <xf numFmtId="0" fontId="135" fillId="31" borderId="0" xfId="0" applyFont="1" applyFill="1" applyBorder="1" applyAlignment="1">
      <alignment vertical="center"/>
    </xf>
    <xf numFmtId="9" fontId="0" fillId="0" borderId="0" xfId="0" applyNumberFormat="1" applyBorder="1" applyAlignment="1">
      <alignment vertical="center"/>
    </xf>
    <xf numFmtId="0" fontId="135" fillId="31" borderId="61" xfId="0" applyFont="1" applyFill="1" applyBorder="1" applyAlignment="1">
      <alignment vertical="center"/>
    </xf>
    <xf numFmtId="9" fontId="26" fillId="0" borderId="0" xfId="1" applyFont="1" applyBorder="1" applyAlignment="1">
      <alignment horizontal="center" vertical="center"/>
    </xf>
    <xf numFmtId="0" fontId="2" fillId="41" borderId="0" xfId="0" applyFont="1" applyFill="1" applyBorder="1" applyAlignment="1">
      <alignment horizontal="center" vertical="center"/>
    </xf>
    <xf numFmtId="9" fontId="0" fillId="0" borderId="0" xfId="0" applyNumberFormat="1" applyFont="1" applyBorder="1" applyAlignment="1">
      <alignment horizontal="center" vertical="center"/>
    </xf>
    <xf numFmtId="0" fontId="2" fillId="41" borderId="0" xfId="0" applyFont="1" applyFill="1" applyBorder="1" applyAlignment="1">
      <alignment vertical="center" readingOrder="2"/>
    </xf>
    <xf numFmtId="0" fontId="2" fillId="41" borderId="0" xfId="0" applyFont="1" applyFill="1" applyBorder="1" applyAlignment="1">
      <alignment vertical="center"/>
    </xf>
    <xf numFmtId="0" fontId="20" fillId="0" borderId="0" xfId="0" applyFont="1" applyBorder="1" applyAlignment="1">
      <alignment vertical="center" wrapText="1" readingOrder="2"/>
    </xf>
    <xf numFmtId="0" fontId="103" fillId="4" borderId="153" xfId="0" applyFont="1" applyFill="1" applyBorder="1" applyAlignment="1">
      <alignment horizontal="center" vertical="center"/>
    </xf>
    <xf numFmtId="0" fontId="103" fillId="4" borderId="154" xfId="0" applyFont="1" applyFill="1" applyBorder="1" applyAlignment="1">
      <alignment horizontal="center" vertical="center"/>
    </xf>
    <xf numFmtId="0" fontId="135" fillId="31" borderId="154" xfId="0" applyFont="1" applyFill="1" applyBorder="1" applyAlignment="1">
      <alignment vertical="center"/>
    </xf>
    <xf numFmtId="9" fontId="0" fillId="0" borderId="156" xfId="0" applyNumberFormat="1" applyFill="1" applyBorder="1" applyAlignment="1">
      <alignment horizontal="right" vertical="center"/>
    </xf>
    <xf numFmtId="0" fontId="0" fillId="0" borderId="242" xfId="0" applyBorder="1" applyAlignment="1">
      <alignment horizontal="right" vertical="center"/>
    </xf>
    <xf numFmtId="0" fontId="4" fillId="0" borderId="241" xfId="0" applyFont="1" applyBorder="1" applyAlignment="1">
      <alignment horizontal="center" vertical="center" readingOrder="2"/>
    </xf>
    <xf numFmtId="0" fontId="4" fillId="0" borderId="61" xfId="0" applyFont="1" applyBorder="1" applyAlignment="1">
      <alignment horizontal="center" vertical="center" readingOrder="2"/>
    </xf>
    <xf numFmtId="0" fontId="20" fillId="0" borderId="243" xfId="0" applyFont="1" applyBorder="1" applyAlignment="1">
      <alignment vertical="top" wrapText="1" readingOrder="2"/>
    </xf>
    <xf numFmtId="0" fontId="20" fillId="0" borderId="244" xfId="0" applyFont="1" applyBorder="1" applyAlignment="1">
      <alignment vertical="top" wrapText="1" readingOrder="2"/>
    </xf>
    <xf numFmtId="0" fontId="0" fillId="0" borderId="244" xfId="0" applyBorder="1" applyAlignment="1">
      <alignment vertical="center"/>
    </xf>
    <xf numFmtId="0" fontId="30" fillId="0" borderId="226" xfId="0" applyFont="1" applyBorder="1" applyAlignment="1">
      <alignment horizontal="right" vertical="center" wrapText="1" readingOrder="2"/>
    </xf>
    <xf numFmtId="0" fontId="0" fillId="0" borderId="78" xfId="0" applyBorder="1" applyAlignment="1">
      <alignment horizontal="right" vertical="center" wrapText="1"/>
    </xf>
    <xf numFmtId="0" fontId="0" fillId="0" borderId="0" xfId="0" applyAlignment="1">
      <alignment horizontal="right" vertical="top" wrapText="1" readingOrder="2"/>
    </xf>
    <xf numFmtId="43" fontId="0" fillId="0" borderId="85" xfId="0" applyNumberFormat="1" applyBorder="1" applyAlignment="1">
      <alignment horizontal="right" vertical="center"/>
    </xf>
    <xf numFmtId="174" fontId="0" fillId="0" borderId="85" xfId="0" applyNumberFormat="1" applyBorder="1" applyAlignment="1">
      <alignment horizontal="left" vertical="center" wrapText="1"/>
    </xf>
    <xf numFmtId="0" fontId="2" fillId="0" borderId="0" xfId="0" applyFont="1" applyFill="1" applyBorder="1" applyAlignment="1">
      <alignment horizontal="right" vertical="center"/>
    </xf>
    <xf numFmtId="165" fontId="2" fillId="0" borderId="0" xfId="0" applyNumberFormat="1" applyFont="1" applyFill="1" applyBorder="1" applyAlignment="1">
      <alignment horizontal="right" vertical="center"/>
    </xf>
    <xf numFmtId="9" fontId="2" fillId="0" borderId="0" xfId="1" applyFont="1" applyFill="1" applyBorder="1" applyAlignment="1">
      <alignment horizontal="right" vertical="center"/>
    </xf>
    <xf numFmtId="0" fontId="139" fillId="0" borderId="0" xfId="0" applyFont="1" applyFill="1" applyBorder="1" applyAlignment="1">
      <alignment horizontal="right" vertical="center"/>
    </xf>
    <xf numFmtId="0" fontId="0" fillId="0" borderId="13" xfId="0" applyFill="1" applyBorder="1"/>
    <xf numFmtId="0" fontId="8" fillId="0" borderId="78" xfId="0" applyFont="1" applyBorder="1" applyAlignment="1">
      <alignment horizontal="right" vertical="center" wrapText="1"/>
    </xf>
    <xf numFmtId="0" fontId="20" fillId="0" borderId="146" xfId="0" applyFont="1" applyBorder="1" applyAlignment="1">
      <alignment horizontal="right" vertical="center" wrapText="1" readingOrder="2"/>
    </xf>
    <xf numFmtId="0" fontId="20" fillId="0" borderId="153" xfId="0" applyFont="1" applyBorder="1" applyAlignment="1">
      <alignment horizontal="right" vertical="center" wrapText="1" readingOrder="2"/>
    </xf>
    <xf numFmtId="0" fontId="140" fillId="0" borderId="61" xfId="0" applyFont="1" applyBorder="1" applyAlignment="1">
      <alignment horizontal="right" vertical="center" wrapText="1" readingOrder="2"/>
    </xf>
    <xf numFmtId="0" fontId="0" fillId="0" borderId="154" xfId="0" applyBorder="1" applyAlignment="1">
      <alignment horizontal="right" vertical="center" wrapText="1" readingOrder="2"/>
    </xf>
    <xf numFmtId="0" fontId="140" fillId="0" borderId="78" xfId="0" applyFont="1" applyBorder="1" applyAlignment="1">
      <alignment horizontal="right" vertical="center" wrapText="1" readingOrder="2"/>
    </xf>
    <xf numFmtId="0" fontId="0" fillId="0" borderId="159" xfId="0" applyBorder="1" applyAlignment="1">
      <alignment horizontal="right" vertical="center" wrapText="1" readingOrder="2"/>
    </xf>
    <xf numFmtId="0" fontId="0" fillId="0" borderId="2" xfId="0" applyBorder="1" applyAlignment="1">
      <alignment horizontal="center" vertical="center"/>
    </xf>
    <xf numFmtId="0" fontId="0" fillId="0" borderId="20" xfId="0" applyBorder="1"/>
    <xf numFmtId="0" fontId="0" fillId="0" borderId="246" xfId="0" applyBorder="1" applyAlignment="1">
      <alignment horizontal="center" vertical="center"/>
    </xf>
    <xf numFmtId="0" fontId="0" fillId="0" borderId="247" xfId="0" applyBorder="1"/>
    <xf numFmtId="177" fontId="0" fillId="0" borderId="224" xfId="7" applyNumberFormat="1" applyFont="1" applyBorder="1" applyAlignment="1">
      <alignment horizontal="center"/>
    </xf>
    <xf numFmtId="177" fontId="0" fillId="0" borderId="248" xfId="7" applyNumberFormat="1" applyFont="1" applyBorder="1" applyAlignment="1">
      <alignment horizontal="center"/>
    </xf>
    <xf numFmtId="0" fontId="0" fillId="0" borderId="0" xfId="0" applyBorder="1"/>
    <xf numFmtId="0" fontId="103" fillId="4" borderId="251" xfId="0" applyFont="1" applyFill="1" applyBorder="1" applyAlignment="1" applyProtection="1">
      <alignment vertical="center" readingOrder="2"/>
      <protection hidden="1"/>
    </xf>
    <xf numFmtId="0" fontId="0" fillId="0" borderId="0" xfId="0" applyFill="1" applyBorder="1"/>
    <xf numFmtId="0" fontId="103" fillId="0" borderId="0" xfId="0" applyFont="1" applyFill="1" applyBorder="1" applyAlignment="1" applyProtection="1">
      <alignment vertical="center" readingOrder="2"/>
      <protection hidden="1"/>
    </xf>
    <xf numFmtId="0" fontId="66" fillId="0" borderId="0" xfId="0" applyFont="1" applyFill="1" applyBorder="1" applyAlignment="1" applyProtection="1">
      <alignment vertical="center" readingOrder="2"/>
      <protection hidden="1"/>
    </xf>
    <xf numFmtId="6" fontId="66" fillId="0" borderId="0" xfId="0" applyNumberFormat="1" applyFont="1" applyFill="1" applyBorder="1" applyAlignment="1" applyProtection="1">
      <alignment horizontal="right" vertical="center" readingOrder="2"/>
      <protection hidden="1"/>
    </xf>
    <xf numFmtId="38" fontId="66" fillId="0" borderId="0" xfId="0" applyNumberFormat="1" applyFont="1" applyFill="1" applyBorder="1" applyAlignment="1" applyProtection="1">
      <alignment vertical="center" readingOrder="2"/>
      <protection hidden="1"/>
    </xf>
    <xf numFmtId="37" fontId="66" fillId="0" borderId="0" xfId="0" applyNumberFormat="1" applyFont="1" applyFill="1" applyBorder="1" applyAlignment="1" applyProtection="1">
      <alignment horizontal="center" vertical="center" readingOrder="2"/>
      <protection hidden="1"/>
    </xf>
    <xf numFmtId="5" fontId="61" fillId="0" borderId="0" xfId="2" applyNumberFormat="1" applyFont="1" applyFill="1" applyBorder="1" applyAlignment="1" applyProtection="1">
      <alignment horizontal="center" vertical="center" readingOrder="2"/>
      <protection hidden="1"/>
    </xf>
    <xf numFmtId="5" fontId="66" fillId="0" borderId="0" xfId="2" applyNumberFormat="1" applyFont="1" applyFill="1" applyBorder="1" applyAlignment="1" applyProtection="1">
      <alignment horizontal="center" vertical="center" readingOrder="2"/>
      <protection hidden="1"/>
    </xf>
    <xf numFmtId="0" fontId="0" fillId="0" borderId="2" xfId="0" applyBorder="1" applyAlignment="1">
      <alignment horizontal="right" vertical="center" wrapText="1"/>
    </xf>
    <xf numFmtId="0" fontId="0" fillId="0" borderId="2" xfId="0" applyBorder="1" applyAlignment="1">
      <alignment vertical="center"/>
    </xf>
    <xf numFmtId="0" fontId="30" fillId="0" borderId="2" xfId="0" applyFont="1" applyBorder="1" applyAlignment="1">
      <alignment horizontal="center" vertical="center"/>
    </xf>
    <xf numFmtId="0" fontId="98" fillId="0" borderId="11" xfId="0" applyFont="1" applyBorder="1" applyAlignment="1">
      <alignment horizontal="right" vertical="center" wrapText="1" readingOrder="2"/>
    </xf>
    <xf numFmtId="0" fontId="142" fillId="33" borderId="139" xfId="0" applyFont="1" applyFill="1" applyBorder="1" applyAlignment="1">
      <alignment horizontal="center" vertical="center" wrapText="1" readingOrder="2"/>
    </xf>
    <xf numFmtId="0" fontId="142" fillId="26" borderId="252" xfId="0" applyFont="1" applyFill="1" applyBorder="1" applyAlignment="1">
      <alignment horizontal="center" vertical="center" wrapText="1" readingOrder="2"/>
    </xf>
    <xf numFmtId="0" fontId="142" fillId="26" borderId="255" xfId="0" applyFont="1" applyFill="1" applyBorder="1" applyAlignment="1">
      <alignment horizontal="center" vertical="center" wrapText="1" readingOrder="2"/>
    </xf>
    <xf numFmtId="0" fontId="142" fillId="33" borderId="257" xfId="0" applyFont="1" applyFill="1" applyBorder="1" applyAlignment="1">
      <alignment vertical="center" wrapText="1" readingOrder="2"/>
    </xf>
    <xf numFmtId="0" fontId="141" fillId="8" borderId="41" xfId="0" applyFont="1" applyFill="1" applyBorder="1" applyAlignment="1">
      <alignment horizontal="right" vertical="center" wrapText="1" readingOrder="2"/>
    </xf>
    <xf numFmtId="0" fontId="141" fillId="8" borderId="8" xfId="0" applyFont="1" applyFill="1" applyBorder="1" applyAlignment="1">
      <alignment horizontal="right" vertical="center" wrapText="1" readingOrder="2"/>
    </xf>
    <xf numFmtId="0" fontId="141" fillId="8" borderId="14" xfId="0" applyFont="1" applyFill="1" applyBorder="1" applyAlignment="1">
      <alignment horizontal="right" vertical="center" wrapText="1" readingOrder="2"/>
    </xf>
    <xf numFmtId="0" fontId="141" fillId="8" borderId="258" xfId="0" applyFont="1" applyFill="1" applyBorder="1" applyAlignment="1">
      <alignment horizontal="right" vertical="center" wrapText="1" readingOrder="2"/>
    </xf>
    <xf numFmtId="0" fontId="142" fillId="33" borderId="253" xfId="0" applyFont="1" applyFill="1" applyBorder="1" applyAlignment="1">
      <alignment vertical="center" wrapText="1" readingOrder="2"/>
    </xf>
    <xf numFmtId="0" fontId="142" fillId="26" borderId="25" xfId="0" applyFont="1" applyFill="1" applyBorder="1" applyAlignment="1">
      <alignment horizontal="center" vertical="center" wrapText="1" readingOrder="2"/>
    </xf>
    <xf numFmtId="0" fontId="142" fillId="26" borderId="0" xfId="0" applyFont="1" applyFill="1" applyBorder="1" applyAlignment="1">
      <alignment horizontal="center" vertical="center" wrapText="1" readingOrder="2"/>
    </xf>
    <xf numFmtId="0" fontId="142" fillId="26" borderId="14" xfId="0" applyFont="1" applyFill="1" applyBorder="1" applyAlignment="1">
      <alignment horizontal="center" vertical="center" wrapText="1" readingOrder="2"/>
    </xf>
    <xf numFmtId="0" fontId="142" fillId="33" borderId="256" xfId="0" applyFont="1" applyFill="1" applyBorder="1" applyAlignment="1">
      <alignment vertical="center" wrapText="1" readingOrder="2"/>
    </xf>
    <xf numFmtId="0" fontId="141" fillId="8" borderId="25" xfId="0" applyFont="1" applyFill="1" applyBorder="1" applyAlignment="1">
      <alignment horizontal="right" vertical="center" wrapText="1" readingOrder="2"/>
    </xf>
    <xf numFmtId="0" fontId="141" fillId="8" borderId="0" xfId="0" applyFont="1" applyFill="1" applyBorder="1" applyAlignment="1">
      <alignment horizontal="right" vertical="center" wrapText="1" readingOrder="2"/>
    </xf>
    <xf numFmtId="0" fontId="143" fillId="8" borderId="0" xfId="0" applyFont="1" applyFill="1" applyBorder="1" applyAlignment="1">
      <alignment horizontal="right" vertical="center" wrapText="1" readingOrder="2"/>
    </xf>
    <xf numFmtId="0" fontId="143" fillId="8" borderId="14" xfId="0" applyFont="1" applyFill="1" applyBorder="1" applyAlignment="1">
      <alignment horizontal="right" vertical="center" wrapText="1" readingOrder="2"/>
    </xf>
    <xf numFmtId="0" fontId="143" fillId="8" borderId="2" xfId="0" applyFont="1" applyFill="1" applyBorder="1" applyAlignment="1">
      <alignment horizontal="right" vertical="center" wrapText="1" readingOrder="2"/>
    </xf>
    <xf numFmtId="0" fontId="142" fillId="26" borderId="2" xfId="0" applyFont="1" applyFill="1" applyBorder="1" applyAlignment="1">
      <alignment horizontal="center" vertical="center" wrapText="1" readingOrder="2"/>
    </xf>
    <xf numFmtId="0" fontId="141" fillId="8" borderId="259" xfId="0" applyFont="1" applyFill="1" applyBorder="1" applyAlignment="1">
      <alignment horizontal="right" vertical="center" wrapText="1" readingOrder="2"/>
    </xf>
    <xf numFmtId="0" fontId="143" fillId="8" borderId="5" xfId="0" applyFont="1" applyFill="1" applyBorder="1" applyAlignment="1">
      <alignment horizontal="right" vertical="center" wrapText="1" readingOrder="2"/>
    </xf>
    <xf numFmtId="0" fontId="142" fillId="26" borderId="246" xfId="0" applyFont="1" applyFill="1" applyBorder="1" applyAlignment="1">
      <alignment horizontal="center" vertical="center" wrapText="1" readingOrder="2"/>
    </xf>
    <xf numFmtId="0" fontId="142" fillId="26" borderId="5" xfId="0" applyFont="1" applyFill="1" applyBorder="1" applyAlignment="1">
      <alignment horizontal="center" vertical="center" wrapText="1" readingOrder="2"/>
    </xf>
    <xf numFmtId="0" fontId="96" fillId="37" borderId="2" xfId="0" applyFont="1" applyFill="1" applyBorder="1" applyAlignment="1">
      <alignment horizontal="right" vertical="center" wrapText="1" readingOrder="2"/>
    </xf>
    <xf numFmtId="0" fontId="146" fillId="35" borderId="2" xfId="0" applyFont="1" applyFill="1" applyBorder="1" applyAlignment="1">
      <alignment horizontal="center" vertical="center" readingOrder="2"/>
    </xf>
    <xf numFmtId="0" fontId="147" fillId="0" borderId="2" xfId="0" applyFont="1" applyBorder="1" applyAlignment="1">
      <alignment horizontal="center" vertical="center" readingOrder="2"/>
    </xf>
    <xf numFmtId="0" fontId="147" fillId="0" borderId="0" xfId="0" applyFont="1" applyAlignment="1">
      <alignment horizontal="right" vertical="center" readingOrder="2"/>
    </xf>
    <xf numFmtId="0" fontId="148" fillId="0" borderId="0" xfId="0" applyFont="1"/>
    <xf numFmtId="0" fontId="117" fillId="0" borderId="0" xfId="0" applyFont="1" applyAlignment="1">
      <alignment horizontal="right" vertical="center" readingOrder="2"/>
    </xf>
    <xf numFmtId="0" fontId="149" fillId="0" borderId="0" xfId="0" applyFont="1"/>
    <xf numFmtId="0" fontId="147" fillId="0" borderId="0" xfId="0" applyFont="1" applyAlignment="1">
      <alignment horizontal="center" vertical="center" wrapText="1" readingOrder="2"/>
    </xf>
    <xf numFmtId="0" fontId="147" fillId="0" borderId="0" xfId="0" applyFont="1" applyAlignment="1">
      <alignment horizontal="center"/>
    </xf>
    <xf numFmtId="0" fontId="147" fillId="0" borderId="0" xfId="0" applyFont="1" applyAlignment="1">
      <alignment vertical="center" readingOrder="2"/>
    </xf>
    <xf numFmtId="14" fontId="147" fillId="0" borderId="0" xfId="0" applyNumberFormat="1" applyFont="1" applyAlignment="1">
      <alignment horizontal="right" vertical="center" readingOrder="2"/>
    </xf>
    <xf numFmtId="0" fontId="148" fillId="0" borderId="0" xfId="0" applyFont="1" applyAlignment="1">
      <alignment vertical="center"/>
    </xf>
    <xf numFmtId="0" fontId="112" fillId="0" borderId="0" xfId="0" applyFont="1" applyBorder="1"/>
    <xf numFmtId="0" fontId="118" fillId="35" borderId="0" xfId="0" applyFont="1" applyFill="1" applyBorder="1" applyAlignment="1">
      <alignment horizontal="center" vertical="center" readingOrder="2"/>
    </xf>
    <xf numFmtId="0" fontId="106" fillId="0" borderId="0" xfId="0" applyFont="1" applyBorder="1" applyAlignment="1">
      <alignment vertical="center" readingOrder="2"/>
    </xf>
    <xf numFmtId="0" fontId="93" fillId="0" borderId="0" xfId="0" applyFont="1" applyAlignment="1">
      <alignment horizontal="right" vertical="center" wrapText="1" readingOrder="2"/>
    </xf>
    <xf numFmtId="0" fontId="93" fillId="0" borderId="0" xfId="0" applyFont="1" applyAlignment="1">
      <alignment horizontal="center" vertical="center" wrapText="1" readingOrder="2"/>
    </xf>
    <xf numFmtId="0" fontId="93" fillId="0" borderId="12" xfId="0" applyFont="1" applyBorder="1" applyAlignment="1">
      <alignment horizontal="center" vertical="center" wrapText="1" readingOrder="2"/>
    </xf>
    <xf numFmtId="0" fontId="93" fillId="0" borderId="11" xfId="0" applyFont="1" applyBorder="1" applyAlignment="1">
      <alignment horizontal="right" vertical="top" wrapText="1" readingOrder="2"/>
    </xf>
    <xf numFmtId="0" fontId="93" fillId="0" borderId="0" xfId="0" applyFont="1" applyBorder="1" applyAlignment="1">
      <alignment horizontal="right" vertical="top" wrapText="1" readingOrder="2"/>
    </xf>
    <xf numFmtId="0" fontId="93" fillId="0" borderId="12" xfId="0" applyFont="1" applyBorder="1" applyAlignment="1">
      <alignment horizontal="right" vertical="top" wrapText="1" readingOrder="2"/>
    </xf>
    <xf numFmtId="0" fontId="93" fillId="0" borderId="11" xfId="0" applyFont="1" applyBorder="1" applyAlignment="1">
      <alignment horizontal="right" vertical="center" wrapText="1" readingOrder="2"/>
    </xf>
    <xf numFmtId="0" fontId="93" fillId="0" borderId="12" xfId="0" applyFont="1" applyBorder="1" applyAlignment="1">
      <alignment horizontal="right" vertical="center" wrapText="1" readingOrder="2"/>
    </xf>
    <xf numFmtId="0" fontId="93" fillId="0" borderId="6" xfId="0" applyFont="1" applyBorder="1" applyAlignment="1">
      <alignment horizontal="right" vertical="center" wrapText="1" readingOrder="2"/>
    </xf>
    <xf numFmtId="0" fontId="93" fillId="0" borderId="3" xfId="0" applyFont="1" applyBorder="1" applyAlignment="1">
      <alignment wrapText="1"/>
    </xf>
    <xf numFmtId="0" fontId="93" fillId="0" borderId="7" xfId="0" applyFont="1" applyBorder="1" applyAlignment="1">
      <alignment wrapText="1"/>
    </xf>
    <xf numFmtId="0" fontId="5" fillId="0" borderId="0" xfId="0" applyFont="1" applyFill="1" applyBorder="1"/>
    <xf numFmtId="0" fontId="141" fillId="8" borderId="139" xfId="0" applyFont="1" applyFill="1" applyBorder="1" applyAlignment="1">
      <alignment horizontal="right" vertical="center" wrapText="1" readingOrder="2"/>
    </xf>
    <xf numFmtId="0" fontId="109" fillId="0" borderId="140" xfId="0" applyFont="1" applyBorder="1" applyAlignment="1">
      <alignment horizontal="right" vertical="center" wrapText="1" readingOrder="2"/>
    </xf>
    <xf numFmtId="0" fontId="109" fillId="0" borderId="141" xfId="0" applyFont="1" applyBorder="1" applyAlignment="1">
      <alignment horizontal="right" vertical="center" wrapText="1" readingOrder="2"/>
    </xf>
    <xf numFmtId="0" fontId="142" fillId="33" borderId="256" xfId="0" applyFont="1" applyFill="1" applyBorder="1" applyAlignment="1">
      <alignment vertical="center" wrapText="1" readingOrder="2"/>
    </xf>
    <xf numFmtId="0" fontId="109" fillId="0" borderId="253" xfId="0" applyFont="1" applyBorder="1" applyAlignment="1">
      <alignment vertical="center" wrapText="1" readingOrder="2"/>
    </xf>
    <xf numFmtId="0" fontId="145" fillId="26" borderId="257" xfId="0" applyFont="1" applyFill="1" applyBorder="1" applyAlignment="1">
      <alignment horizontal="center" vertical="center" readingOrder="2"/>
    </xf>
    <xf numFmtId="0" fontId="145" fillId="26" borderId="19" xfId="0" applyFont="1" applyFill="1" applyBorder="1" applyAlignment="1">
      <alignment horizontal="center" vertical="center" readingOrder="2"/>
    </xf>
    <xf numFmtId="0" fontId="145" fillId="26" borderId="260" xfId="0" applyFont="1" applyFill="1" applyBorder="1" applyAlignment="1">
      <alignment horizontal="center" vertical="center" readingOrder="2"/>
    </xf>
    <xf numFmtId="0" fontId="144" fillId="8" borderId="22" xfId="0" applyFont="1" applyFill="1" applyBorder="1" applyAlignment="1">
      <alignment horizontal="right" vertical="center" readingOrder="2"/>
    </xf>
    <xf numFmtId="0" fontId="144" fillId="8" borderId="0" xfId="0" applyFont="1" applyFill="1" applyBorder="1" applyAlignment="1">
      <alignment horizontal="right" vertical="center" readingOrder="2"/>
    </xf>
    <xf numFmtId="0" fontId="144" fillId="8" borderId="25" xfId="0" applyFont="1" applyFill="1" applyBorder="1" applyAlignment="1">
      <alignment horizontal="right" vertical="center" readingOrder="2"/>
    </xf>
    <xf numFmtId="0" fontId="109" fillId="8" borderId="254" xfId="0" applyFont="1" applyFill="1" applyBorder="1" applyAlignment="1"/>
    <xf numFmtId="0" fontId="109" fillId="0" borderId="250" xfId="0" applyFont="1" applyBorder="1" applyAlignment="1"/>
    <xf numFmtId="0" fontId="109" fillId="0" borderId="249" xfId="0" applyFont="1" applyBorder="1" applyAlignment="1"/>
    <xf numFmtId="0" fontId="141" fillId="8" borderId="9" xfId="0" applyFont="1" applyFill="1" applyBorder="1" applyAlignment="1">
      <alignment horizontal="right" vertical="center" wrapText="1" readingOrder="2"/>
    </xf>
    <xf numFmtId="0" fontId="109" fillId="0" borderId="8" xfId="0" applyFont="1" applyBorder="1" applyAlignment="1">
      <alignment horizontal="right" vertical="center" wrapText="1" readingOrder="2"/>
    </xf>
    <xf numFmtId="0" fontId="109" fillId="0" borderId="41" xfId="0" applyFont="1" applyBorder="1" applyAlignment="1">
      <alignment horizontal="right" vertical="center" wrapText="1" readingOrder="2"/>
    </xf>
    <xf numFmtId="0" fontId="0" fillId="0" borderId="151" xfId="0" applyBorder="1" applyAlignment="1">
      <alignment horizontal="right" vertical="top" wrapText="1" readingOrder="2"/>
    </xf>
    <xf numFmtId="0" fontId="0" fillId="0" borderId="62" xfId="0" applyBorder="1" applyAlignment="1">
      <alignment horizontal="right" vertical="top" wrapText="1" readingOrder="2"/>
    </xf>
    <xf numFmtId="0" fontId="0" fillId="0" borderId="156" xfId="0" applyBorder="1" applyAlignment="1">
      <alignment horizontal="right" vertical="top" wrapText="1" readingOrder="2"/>
    </xf>
    <xf numFmtId="0" fontId="26" fillId="41" borderId="142" xfId="0" applyFont="1" applyFill="1" applyBorder="1" applyAlignment="1">
      <alignment horizontal="right" vertical="top" readingOrder="2"/>
    </xf>
    <xf numFmtId="0" fontId="26" fillId="41" borderId="96" xfId="0" applyFont="1" applyFill="1" applyBorder="1" applyAlignment="1">
      <alignment horizontal="right" vertical="top" readingOrder="2"/>
    </xf>
    <xf numFmtId="0" fontId="26" fillId="41" borderId="143" xfId="0" applyFont="1" applyFill="1" applyBorder="1" applyAlignment="1">
      <alignment horizontal="right" vertical="top" readingOrder="2"/>
    </xf>
    <xf numFmtId="0" fontId="0" fillId="0" borderId="145" xfId="0" applyBorder="1" applyAlignment="1">
      <alignment horizontal="right" vertical="top" wrapText="1" readingOrder="2"/>
    </xf>
    <xf numFmtId="0" fontId="0" fillId="0" borderId="0" xfId="0" applyBorder="1" applyAlignment="1">
      <alignment horizontal="right" vertical="top" wrapText="1" readingOrder="2"/>
    </xf>
    <xf numFmtId="0" fontId="0" fillId="0" borderId="155" xfId="0" applyBorder="1" applyAlignment="1">
      <alignment horizontal="right" vertical="top" wrapText="1" readingOrder="2"/>
    </xf>
    <xf numFmtId="0" fontId="4" fillId="0" borderId="85" xfId="0" applyFont="1" applyBorder="1" applyAlignment="1">
      <alignment horizontal="right" vertical="top" wrapText="1"/>
    </xf>
    <xf numFmtId="0" fontId="29" fillId="2" borderId="85" xfId="0" applyFont="1" applyFill="1" applyBorder="1" applyAlignment="1">
      <alignment horizontal="center" vertical="center" wrapText="1"/>
    </xf>
    <xf numFmtId="168" fontId="0" fillId="0" borderId="0" xfId="0" applyNumberFormat="1" applyAlignment="1">
      <alignment horizontal="right" vertical="center"/>
    </xf>
    <xf numFmtId="168" fontId="0" fillId="0" borderId="135" xfId="0" applyNumberFormat="1" applyBorder="1" applyAlignment="1">
      <alignment horizontal="right" vertical="center"/>
    </xf>
    <xf numFmtId="0" fontId="0" fillId="0" borderId="0" xfId="0" applyAlignment="1">
      <alignment horizontal="center" vertical="center"/>
    </xf>
    <xf numFmtId="0" fontId="26" fillId="0" borderId="78" xfId="0" applyFont="1" applyBorder="1" applyAlignment="1">
      <alignment horizontal="right" vertical="center" wrapText="1"/>
    </xf>
    <xf numFmtId="0" fontId="0" fillId="0" borderId="78" xfId="0" applyBorder="1" applyAlignment="1">
      <alignment horizontal="right" vertical="center" wrapText="1"/>
    </xf>
    <xf numFmtId="0" fontId="0" fillId="0" borderId="61" xfId="0" applyBorder="1" applyAlignment="1">
      <alignment horizontal="center" vertical="center"/>
    </xf>
    <xf numFmtId="0" fontId="138" fillId="4" borderId="0" xfId="0" applyFont="1" applyFill="1" applyBorder="1" applyAlignment="1">
      <alignment horizontal="center" vertical="center"/>
    </xf>
    <xf numFmtId="0" fontId="0" fillId="0" borderId="0" xfId="0" applyAlignment="1">
      <alignment horizontal="center" vertical="center" wrapText="1"/>
    </xf>
    <xf numFmtId="0" fontId="0" fillId="0" borderId="100" xfId="0" applyBorder="1" applyAlignment="1">
      <alignment horizontal="center" vertical="center" wrapText="1"/>
    </xf>
    <xf numFmtId="0" fontId="4" fillId="8" borderId="135" xfId="0" applyFont="1" applyFill="1" applyBorder="1" applyAlignment="1">
      <alignment horizontal="right" vertical="center" wrapText="1"/>
    </xf>
    <xf numFmtId="0" fontId="37" fillId="0" borderId="0" xfId="0" applyFont="1" applyAlignment="1">
      <alignment horizontal="center" vertical="center" wrapText="1" readingOrder="2"/>
    </xf>
    <xf numFmtId="0" fontId="26" fillId="27" borderId="145" xfId="0" applyFont="1" applyFill="1" applyBorder="1" applyAlignment="1">
      <alignment horizontal="right" vertical="top" wrapText="1" readingOrder="2"/>
    </xf>
    <xf numFmtId="0" fontId="26" fillId="27" borderId="0" xfId="0" applyFont="1" applyFill="1" applyAlignment="1">
      <alignment horizontal="right" vertical="top" wrapText="1" readingOrder="2"/>
    </xf>
    <xf numFmtId="0" fontId="26" fillId="27" borderId="155" xfId="0" applyFont="1" applyFill="1" applyBorder="1" applyAlignment="1">
      <alignment horizontal="right" vertical="top" wrapText="1" readingOrder="2"/>
    </xf>
    <xf numFmtId="0" fontId="30" fillId="27" borderId="145" xfId="0" applyFont="1" applyFill="1" applyBorder="1" applyAlignment="1">
      <alignment horizontal="right" vertical="top" wrapText="1" readingOrder="2"/>
    </xf>
    <xf numFmtId="0" fontId="30" fillId="27" borderId="0" xfId="0" applyFont="1" applyFill="1" applyAlignment="1">
      <alignment horizontal="right" vertical="top" wrapText="1" readingOrder="2"/>
    </xf>
    <xf numFmtId="0" fontId="30" fillId="27" borderId="155" xfId="0" applyFont="1" applyFill="1" applyBorder="1" applyAlignment="1">
      <alignment horizontal="right" vertical="top" wrapText="1" readingOrder="2"/>
    </xf>
    <xf numFmtId="0" fontId="0" fillId="0" borderId="229" xfId="0" applyBorder="1" applyAlignment="1">
      <alignment horizontal="right" vertical="center" readingOrder="2"/>
    </xf>
    <xf numFmtId="0" fontId="0" fillId="0" borderId="126" xfId="0" applyNumberFormat="1" applyBorder="1" applyAlignment="1">
      <alignment horizontal="right" vertical="center"/>
    </xf>
    <xf numFmtId="0" fontId="0" fillId="0" borderId="97" xfId="0" applyNumberFormat="1" applyBorder="1" applyAlignment="1">
      <alignment horizontal="right" vertical="center"/>
    </xf>
    <xf numFmtId="0" fontId="0" fillId="0" borderId="232" xfId="0" applyNumberFormat="1" applyBorder="1" applyAlignment="1">
      <alignment horizontal="right" vertical="center"/>
    </xf>
    <xf numFmtId="9" fontId="0" fillId="0" borderId="229" xfId="0" applyNumberFormat="1" applyBorder="1" applyAlignment="1">
      <alignment horizontal="right" vertical="center"/>
    </xf>
    <xf numFmtId="0" fontId="30" fillId="0" borderId="145" xfId="0" applyFont="1" applyBorder="1" applyAlignment="1">
      <alignment horizontal="right" vertical="top" wrapText="1" readingOrder="2"/>
    </xf>
    <xf numFmtId="0" fontId="30" fillId="0" borderId="0" xfId="0" applyFont="1" applyAlignment="1">
      <alignment horizontal="right" vertical="top" wrapText="1" readingOrder="2"/>
    </xf>
    <xf numFmtId="0" fontId="30" fillId="0" borderId="155" xfId="0" applyFont="1" applyBorder="1" applyAlignment="1">
      <alignment horizontal="right" vertical="top" wrapText="1" readingOrder="2"/>
    </xf>
    <xf numFmtId="0" fontId="30" fillId="0" borderId="151" xfId="0" applyFont="1" applyBorder="1" applyAlignment="1">
      <alignment horizontal="right" vertical="top" wrapText="1" readingOrder="2"/>
    </xf>
    <xf numFmtId="0" fontId="30" fillId="0" borderId="62" xfId="0" applyFont="1" applyBorder="1" applyAlignment="1">
      <alignment horizontal="right" vertical="top" wrapText="1" readingOrder="2"/>
    </xf>
    <xf numFmtId="0" fontId="30" fillId="0" borderId="156" xfId="0" applyFont="1" applyBorder="1" applyAlignment="1">
      <alignment horizontal="right" vertical="top" wrapText="1" readingOrder="2"/>
    </xf>
    <xf numFmtId="0" fontId="4" fillId="2" borderId="96" xfId="0" applyFont="1" applyFill="1" applyBorder="1" applyAlignment="1">
      <alignment horizontal="right" vertical="center" wrapText="1"/>
    </xf>
    <xf numFmtId="0" fontId="4" fillId="2" borderId="143" xfId="0" applyFont="1" applyFill="1" applyBorder="1" applyAlignment="1">
      <alignment horizontal="right" vertical="center" wrapText="1"/>
    </xf>
    <xf numFmtId="0" fontId="0" fillId="0" borderId="144" xfId="0" applyBorder="1" applyAlignment="1">
      <alignment horizontal="right" vertical="center" wrapText="1"/>
    </xf>
    <xf numFmtId="0" fontId="0" fillId="0" borderId="145" xfId="0" applyBorder="1" applyAlignment="1">
      <alignment horizontal="right" vertical="center" wrapText="1"/>
    </xf>
    <xf numFmtId="0" fontId="0" fillId="0" borderId="146" xfId="0" applyBorder="1" applyAlignment="1">
      <alignment horizontal="right" vertical="center" wrapText="1"/>
    </xf>
    <xf numFmtId="0" fontId="0" fillId="0" borderId="151" xfId="0" applyBorder="1" applyAlignment="1">
      <alignment horizontal="right" vertical="center" wrapText="1"/>
    </xf>
    <xf numFmtId="0" fontId="30" fillId="0" borderId="145" xfId="0" applyFont="1" applyBorder="1" applyAlignment="1">
      <alignment horizontal="right" vertical="center" wrapText="1" readingOrder="2"/>
    </xf>
    <xf numFmtId="0" fontId="30" fillId="0" borderId="0" xfId="0" applyFont="1" applyBorder="1" applyAlignment="1">
      <alignment horizontal="right" vertical="center" wrapText="1" readingOrder="2"/>
    </xf>
    <xf numFmtId="0" fontId="30" fillId="0" borderId="155" xfId="0" applyFont="1" applyBorder="1" applyAlignment="1">
      <alignment horizontal="right" vertical="center" wrapText="1" readingOrder="2"/>
    </xf>
    <xf numFmtId="0" fontId="2" fillId="41" borderId="230" xfId="0" applyFont="1" applyFill="1" applyBorder="1" applyAlignment="1">
      <alignment horizontal="right" vertical="center" readingOrder="2"/>
    </xf>
    <xf numFmtId="0" fontId="2" fillId="41" borderId="97" xfId="0" applyFont="1" applyFill="1" applyBorder="1" applyAlignment="1">
      <alignment horizontal="right" vertical="center" readingOrder="2"/>
    </xf>
    <xf numFmtId="0" fontId="2" fillId="41" borderId="231" xfId="0" applyFont="1" applyFill="1" applyBorder="1" applyAlignment="1">
      <alignment horizontal="right" vertical="center" readingOrder="2"/>
    </xf>
    <xf numFmtId="0" fontId="30" fillId="0" borderId="146" xfId="0" applyFont="1" applyBorder="1" applyAlignment="1">
      <alignment horizontal="right" vertical="center" wrapText="1" readingOrder="2"/>
    </xf>
    <xf numFmtId="0" fontId="30" fillId="0" borderId="78" xfId="0" applyFont="1" applyBorder="1" applyAlignment="1">
      <alignment horizontal="right" vertical="center" wrapText="1" readingOrder="2"/>
    </xf>
    <xf numFmtId="0" fontId="30" fillId="0" borderId="159" xfId="0" applyFont="1" applyBorder="1" applyAlignment="1">
      <alignment horizontal="right" vertical="center" wrapText="1" readingOrder="2"/>
    </xf>
    <xf numFmtId="0" fontId="20" fillId="0" borderId="146" xfId="0" applyFont="1" applyBorder="1" applyAlignment="1">
      <alignment horizontal="right" vertical="center" wrapText="1" readingOrder="2"/>
    </xf>
    <xf numFmtId="0" fontId="20" fillId="0" borderId="78" xfId="0" applyFont="1" applyBorder="1" applyAlignment="1">
      <alignment horizontal="right" vertical="center" wrapText="1" readingOrder="2"/>
    </xf>
    <xf numFmtId="0" fontId="20" fillId="0" borderId="159" xfId="0" applyFont="1" applyBorder="1" applyAlignment="1">
      <alignment horizontal="right" vertical="center" wrapText="1" readingOrder="2"/>
    </xf>
    <xf numFmtId="0" fontId="30" fillId="0" borderId="151" xfId="0" applyFont="1" applyBorder="1" applyAlignment="1">
      <alignment horizontal="right" vertical="center" wrapText="1" readingOrder="2"/>
    </xf>
    <xf numFmtId="0" fontId="30" fillId="0" borderId="62" xfId="0" applyFont="1" applyBorder="1" applyAlignment="1">
      <alignment horizontal="right" vertical="center" wrapText="1" readingOrder="2"/>
    </xf>
    <xf numFmtId="0" fontId="30" fillId="0" borderId="156" xfId="0" applyFont="1" applyBorder="1" applyAlignment="1">
      <alignment horizontal="right" vertical="center" wrapText="1" readingOrder="2"/>
    </xf>
    <xf numFmtId="0" fontId="20" fillId="0" borderId="144" xfId="0" applyFont="1" applyBorder="1" applyAlignment="1">
      <alignment horizontal="right" vertical="center" wrapText="1" readingOrder="2"/>
    </xf>
    <xf numFmtId="0" fontId="20" fillId="0" borderId="66" xfId="0" applyFont="1" applyBorder="1" applyAlignment="1">
      <alignment horizontal="right" vertical="center" wrapText="1" readingOrder="2"/>
    </xf>
    <xf numFmtId="0" fontId="20" fillId="0" borderId="150" xfId="0" applyFont="1" applyBorder="1" applyAlignment="1">
      <alignment horizontal="right" vertical="center" wrapText="1" readingOrder="2"/>
    </xf>
    <xf numFmtId="0" fontId="0" fillId="0" borderId="145" xfId="0" applyBorder="1" applyAlignment="1">
      <alignment horizontal="right" vertical="center" readingOrder="2"/>
    </xf>
    <xf numFmtId="0" fontId="0" fillId="0" borderId="0" xfId="0" applyBorder="1" applyAlignment="1">
      <alignment horizontal="right" vertical="center" readingOrder="2"/>
    </xf>
    <xf numFmtId="0" fontId="0" fillId="0" borderId="155" xfId="0" applyBorder="1" applyAlignment="1">
      <alignment horizontal="right" vertical="center" readingOrder="2"/>
    </xf>
    <xf numFmtId="0" fontId="0" fillId="0" borderId="151" xfId="0" applyBorder="1" applyAlignment="1">
      <alignment horizontal="right" vertical="center" readingOrder="2"/>
    </xf>
    <xf numFmtId="0" fontId="0" fillId="0" borderId="62" xfId="0" applyBorder="1" applyAlignment="1">
      <alignment horizontal="right" vertical="center" readingOrder="2"/>
    </xf>
    <xf numFmtId="0" fontId="0" fillId="0" borderId="156" xfId="0" applyBorder="1" applyAlignment="1">
      <alignment horizontal="right" vertical="center" readingOrder="2"/>
    </xf>
    <xf numFmtId="0" fontId="2" fillId="41" borderId="153" xfId="0" applyFont="1" applyFill="1" applyBorder="1" applyAlignment="1">
      <alignment horizontal="center" vertical="center"/>
    </xf>
    <xf numFmtId="0" fontId="2" fillId="41" borderId="61" xfId="0" applyFont="1" applyFill="1" applyBorder="1" applyAlignment="1">
      <alignment horizontal="center" vertical="center"/>
    </xf>
    <xf numFmtId="0" fontId="2" fillId="41" borderId="154" xfId="0" applyFont="1" applyFill="1" applyBorder="1" applyAlignment="1">
      <alignment horizontal="center" vertical="center"/>
    </xf>
    <xf numFmtId="0" fontId="0" fillId="0" borderId="153" xfId="0" applyBorder="1" applyAlignment="1">
      <alignment horizontal="right" vertical="center" readingOrder="2"/>
    </xf>
    <xf numFmtId="0" fontId="0" fillId="0" borderId="61" xfId="0" applyBorder="1" applyAlignment="1">
      <alignment horizontal="right" vertical="center" readingOrder="2"/>
    </xf>
    <xf numFmtId="0" fontId="0" fillId="0" borderId="154" xfId="0" applyBorder="1" applyAlignment="1">
      <alignment horizontal="right" vertical="center" readingOrder="2"/>
    </xf>
    <xf numFmtId="0" fontId="135" fillId="31" borderId="189" xfId="0" applyFont="1" applyFill="1" applyBorder="1" applyAlignment="1">
      <alignment horizontal="center" vertical="center"/>
    </xf>
    <xf numFmtId="0" fontId="135" fillId="31" borderId="74" xfId="0" applyFont="1" applyFill="1" applyBorder="1" applyAlignment="1">
      <alignment horizontal="center" vertical="center"/>
    </xf>
    <xf numFmtId="0" fontId="135" fillId="31" borderId="162" xfId="0" applyFont="1" applyFill="1" applyBorder="1" applyAlignment="1">
      <alignment horizontal="center" vertical="center"/>
    </xf>
    <xf numFmtId="0" fontId="23" fillId="0" borderId="153" xfId="0" applyFont="1" applyBorder="1" applyAlignment="1">
      <alignment horizontal="center" vertical="center" wrapText="1" readingOrder="2"/>
    </xf>
    <xf numFmtId="0" fontId="23" fillId="0" borderId="61" xfId="0" applyFont="1" applyBorder="1" applyAlignment="1">
      <alignment horizontal="center" vertical="center" wrapText="1" readingOrder="2"/>
    </xf>
    <xf numFmtId="0" fontId="23" fillId="0" borderId="154" xfId="0" applyFont="1" applyBorder="1" applyAlignment="1">
      <alignment horizontal="center" vertical="center" wrapText="1" readingOrder="2"/>
    </xf>
    <xf numFmtId="0" fontId="30" fillId="0" borderId="145" xfId="0" applyFont="1" applyBorder="1" applyAlignment="1">
      <alignment horizontal="right" vertical="center" readingOrder="2"/>
    </xf>
    <xf numFmtId="0" fontId="30" fillId="0" borderId="0" xfId="0" applyFont="1" applyBorder="1" applyAlignment="1">
      <alignment horizontal="right" vertical="center" readingOrder="2"/>
    </xf>
    <xf numFmtId="0" fontId="30" fillId="0" borderId="155" xfId="0" applyFont="1" applyBorder="1" applyAlignment="1">
      <alignment horizontal="right" vertical="center" readingOrder="2"/>
    </xf>
    <xf numFmtId="0" fontId="30" fillId="0" borderId="146" xfId="0" applyFont="1" applyBorder="1" applyAlignment="1">
      <alignment horizontal="right" vertical="center" readingOrder="2"/>
    </xf>
    <xf numFmtId="0" fontId="30" fillId="0" borderId="78" xfId="0" applyFont="1" applyBorder="1" applyAlignment="1">
      <alignment horizontal="right" vertical="center" readingOrder="2"/>
    </xf>
    <xf numFmtId="0" fontId="30" fillId="0" borderId="159" xfId="0" applyFont="1" applyBorder="1" applyAlignment="1">
      <alignment horizontal="right" vertical="center" readingOrder="2"/>
    </xf>
    <xf numFmtId="0" fontId="136" fillId="0" borderId="145" xfId="0" applyFont="1" applyBorder="1" applyAlignment="1">
      <alignment horizontal="center" vertical="top"/>
    </xf>
    <xf numFmtId="0" fontId="137" fillId="0" borderId="145" xfId="0" applyFont="1" applyBorder="1" applyAlignment="1">
      <alignment horizontal="center" vertical="top"/>
    </xf>
    <xf numFmtId="0" fontId="103" fillId="4" borderId="189" xfId="0" applyFont="1" applyFill="1" applyBorder="1" applyAlignment="1">
      <alignment horizontal="center" vertical="center"/>
    </xf>
    <xf numFmtId="0" fontId="103" fillId="4" borderId="162" xfId="0" applyFont="1" applyFill="1" applyBorder="1" applyAlignment="1">
      <alignment horizontal="center" vertical="center"/>
    </xf>
    <xf numFmtId="0" fontId="30" fillId="0" borderId="153" xfId="0" applyFont="1" applyBorder="1" applyAlignment="1">
      <alignment horizontal="right" vertical="top" wrapText="1" readingOrder="2"/>
    </xf>
    <xf numFmtId="0" fontId="30" fillId="0" borderId="154" xfId="0" applyFont="1" applyBorder="1" applyAlignment="1">
      <alignment horizontal="right" vertical="top" wrapText="1" readingOrder="2"/>
    </xf>
    <xf numFmtId="0" fontId="30" fillId="0" borderId="144" xfId="0" applyFont="1" applyBorder="1" applyAlignment="1">
      <alignment horizontal="right" vertical="center" wrapText="1" readingOrder="2"/>
    </xf>
    <xf numFmtId="0" fontId="30" fillId="0" borderId="66" xfId="0" applyFont="1" applyBorder="1" applyAlignment="1">
      <alignment horizontal="right" vertical="center" wrapText="1" readingOrder="2"/>
    </xf>
    <xf numFmtId="0" fontId="30" fillId="0" borderId="150" xfId="0" applyFont="1" applyBorder="1" applyAlignment="1">
      <alignment horizontal="right" vertical="center" wrapText="1" readingOrder="2"/>
    </xf>
    <xf numFmtId="0" fontId="135" fillId="31" borderId="189" xfId="0" applyFont="1" applyFill="1" applyBorder="1" applyAlignment="1">
      <alignment horizontal="right" vertical="center"/>
    </xf>
    <xf numFmtId="0" fontId="135" fillId="31" borderId="74" xfId="0" applyFont="1" applyFill="1" applyBorder="1" applyAlignment="1">
      <alignment horizontal="right" vertical="center"/>
    </xf>
    <xf numFmtId="0" fontId="135" fillId="31" borderId="162" xfId="0" applyFont="1" applyFill="1" applyBorder="1" applyAlignment="1">
      <alignment horizontal="right" vertical="center"/>
    </xf>
    <xf numFmtId="0" fontId="136" fillId="0" borderId="145" xfId="0" applyFont="1" applyBorder="1" applyAlignment="1">
      <alignment horizontal="right" vertical="top"/>
    </xf>
    <xf numFmtId="0" fontId="137" fillId="0" borderId="145" xfId="0" applyFont="1" applyBorder="1" applyAlignment="1">
      <alignment horizontal="right" vertical="top"/>
    </xf>
    <xf numFmtId="0" fontId="2" fillId="0" borderId="61" xfId="0" applyFont="1" applyFill="1" applyBorder="1" applyAlignment="1">
      <alignment horizontal="center" vertical="center"/>
    </xf>
    <xf numFmtId="0" fontId="2" fillId="0" borderId="154" xfId="0" applyFont="1" applyFill="1" applyBorder="1" applyAlignment="1">
      <alignment horizontal="center" vertical="center"/>
    </xf>
    <xf numFmtId="0" fontId="20" fillId="0" borderId="244" xfId="0" applyFont="1" applyBorder="1" applyAlignment="1">
      <alignment horizontal="center" vertical="top" wrapText="1" readingOrder="2"/>
    </xf>
    <xf numFmtId="0" fontId="20" fillId="0" borderId="245" xfId="0" applyFont="1" applyBorder="1" applyAlignment="1">
      <alignment horizontal="center" vertical="top" wrapText="1" readingOrder="2"/>
    </xf>
    <xf numFmtId="0" fontId="4" fillId="0" borderId="238" xfId="0" applyFont="1" applyBorder="1" applyAlignment="1">
      <alignment horizontal="center" vertical="center" readingOrder="2"/>
    </xf>
    <xf numFmtId="0" fontId="4" fillId="0" borderId="228" xfId="0" applyFont="1" applyBorder="1" applyAlignment="1">
      <alignment horizontal="center" vertical="center" readingOrder="2"/>
    </xf>
    <xf numFmtId="0" fontId="4" fillId="0" borderId="239" xfId="0" applyFont="1" applyBorder="1" applyAlignment="1">
      <alignment horizontal="center" vertical="center" readingOrder="2"/>
    </xf>
    <xf numFmtId="0" fontId="4" fillId="0" borderId="240" xfId="0" applyFont="1" applyBorder="1" applyAlignment="1">
      <alignment horizontal="center" vertical="center" readingOrder="2"/>
    </xf>
    <xf numFmtId="0" fontId="2" fillId="2" borderId="14" xfId="0" applyFont="1" applyFill="1" applyBorder="1" applyAlignment="1">
      <alignment horizontal="center" vertical="center"/>
    </xf>
    <xf numFmtId="0" fontId="2" fillId="2" borderId="15"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5" xfId="0" applyFont="1" applyFill="1" applyBorder="1" applyAlignment="1">
      <alignment horizontal="center" vertical="center"/>
    </xf>
    <xf numFmtId="0" fontId="6" fillId="14" borderId="1" xfId="0" applyFont="1" applyFill="1" applyBorder="1" applyAlignment="1">
      <alignment horizontal="center" vertical="center"/>
    </xf>
    <xf numFmtId="0" fontId="6" fillId="14" borderId="5" xfId="0" applyFont="1" applyFill="1" applyBorder="1" applyAlignment="1">
      <alignment horizontal="center" vertical="center"/>
    </xf>
    <xf numFmtId="0" fontId="134" fillId="0" borderId="9" xfId="4" applyFont="1" applyBorder="1" applyAlignment="1">
      <alignment horizontal="center"/>
    </xf>
    <xf numFmtId="0" fontId="134" fillId="0" borderId="10" xfId="4" applyFont="1" applyBorder="1" applyAlignment="1">
      <alignment horizontal="center"/>
    </xf>
    <xf numFmtId="0" fontId="11" fillId="2" borderId="32" xfId="4" applyFont="1" applyFill="1" applyBorder="1" applyAlignment="1">
      <alignment horizontal="center"/>
    </xf>
    <xf numFmtId="0" fontId="11" fillId="2" borderId="27" xfId="4" applyFont="1" applyFill="1" applyBorder="1" applyAlignment="1">
      <alignment horizontal="center"/>
    </xf>
    <xf numFmtId="0" fontId="12" fillId="23" borderId="102" xfId="0" applyFont="1" applyFill="1" applyBorder="1" applyAlignment="1">
      <alignment horizontal="center"/>
    </xf>
    <xf numFmtId="0" fontId="12" fillId="23" borderId="103" xfId="0" applyFont="1" applyFill="1" applyBorder="1" applyAlignment="1">
      <alignment horizontal="center"/>
    </xf>
    <xf numFmtId="0" fontId="12" fillId="23" borderId="104" xfId="0" applyFont="1" applyFill="1" applyBorder="1" applyAlignment="1">
      <alignment horizontal="center"/>
    </xf>
    <xf numFmtId="0" fontId="11" fillId="0" borderId="4" xfId="4" applyFont="1" applyBorder="1" applyAlignment="1">
      <alignment horizontal="left"/>
    </xf>
    <xf numFmtId="0" fontId="11" fillId="0" borderId="5" xfId="4" applyFont="1" applyBorder="1" applyAlignment="1">
      <alignment horizontal="left"/>
    </xf>
    <xf numFmtId="0" fontId="11" fillId="3" borderId="4" xfId="4" applyFont="1" applyFill="1" applyBorder="1" applyAlignment="1">
      <alignment horizontal="center"/>
    </xf>
    <xf numFmtId="0" fontId="11" fillId="3" borderId="5" xfId="4" applyFont="1" applyFill="1" applyBorder="1" applyAlignment="1">
      <alignment horizontal="center"/>
    </xf>
    <xf numFmtId="0" fontId="24" fillId="23" borderId="102" xfId="0" applyFont="1" applyFill="1" applyBorder="1" applyAlignment="1">
      <alignment horizontal="center"/>
    </xf>
    <xf numFmtId="17" fontId="11" fillId="2" borderId="114" xfId="6" applyNumberFormat="1" applyFont="1" applyFill="1" applyBorder="1" applyAlignment="1">
      <alignment horizontal="center" vertical="center"/>
    </xf>
    <xf numFmtId="17" fontId="11" fillId="2" borderId="118" xfId="6" applyNumberFormat="1" applyFont="1" applyFill="1" applyBorder="1" applyAlignment="1">
      <alignment horizontal="center" vertical="center"/>
    </xf>
    <xf numFmtId="0" fontId="7" fillId="2" borderId="115" xfId="0" applyFont="1" applyFill="1" applyBorder="1" applyAlignment="1">
      <alignment horizontal="center"/>
    </xf>
    <xf numFmtId="0" fontId="7" fillId="2" borderId="116" xfId="0" applyFont="1" applyFill="1" applyBorder="1" applyAlignment="1">
      <alignment horizontal="center"/>
    </xf>
    <xf numFmtId="10" fontId="66" fillId="0" borderId="154" xfId="4" applyNumberFormat="1" applyFont="1" applyBorder="1" applyAlignment="1">
      <alignment horizontal="center" vertical="center" readingOrder="2"/>
    </xf>
    <xf numFmtId="10" fontId="66" fillId="0" borderId="155" xfId="4" applyNumberFormat="1" applyFont="1" applyBorder="1" applyAlignment="1">
      <alignment horizontal="center" vertical="center" readingOrder="2"/>
    </xf>
    <xf numFmtId="10" fontId="66" fillId="0" borderId="156" xfId="4" applyNumberFormat="1" applyFont="1" applyBorder="1" applyAlignment="1">
      <alignment horizontal="center" vertical="center" readingOrder="2"/>
    </xf>
    <xf numFmtId="49" fontId="11" fillId="2" borderId="4" xfId="2" applyNumberFormat="1" applyFont="1" applyFill="1" applyBorder="1" applyAlignment="1">
      <alignment horizontal="center"/>
    </xf>
    <xf numFmtId="49" fontId="11" fillId="2" borderId="5" xfId="2" applyNumberFormat="1" applyFont="1" applyFill="1" applyBorder="1" applyAlignment="1">
      <alignment horizontal="center"/>
    </xf>
    <xf numFmtId="0" fontId="2" fillId="2" borderId="64" xfId="2" applyNumberFormat="1" applyFont="1" applyFill="1" applyBorder="1" applyAlignment="1">
      <alignment horizontal="left" vertical="center"/>
    </xf>
    <xf numFmtId="0" fontId="2" fillId="2" borderId="1" xfId="2" applyNumberFormat="1" applyFont="1" applyFill="1" applyBorder="1" applyAlignment="1">
      <alignment horizontal="left" vertical="center"/>
    </xf>
    <xf numFmtId="0" fontId="2" fillId="2" borderId="5" xfId="2" applyNumberFormat="1" applyFont="1" applyFill="1" applyBorder="1" applyAlignment="1">
      <alignment horizontal="left" vertical="center"/>
    </xf>
    <xf numFmtId="49" fontId="4" fillId="2" borderId="0" xfId="0" applyNumberFormat="1" applyFont="1" applyFill="1" applyAlignment="1">
      <alignment horizontal="center" vertical="center" wrapText="1"/>
    </xf>
    <xf numFmtId="0" fontId="6" fillId="18" borderId="4" xfId="2" applyNumberFormat="1" applyFont="1" applyFill="1" applyBorder="1" applyAlignment="1">
      <alignment horizontal="center" vertical="center"/>
    </xf>
    <xf numFmtId="0" fontId="6" fillId="18" borderId="1" xfId="2" applyNumberFormat="1" applyFont="1" applyFill="1" applyBorder="1" applyAlignment="1">
      <alignment horizontal="center" vertical="center"/>
    </xf>
    <xf numFmtId="0" fontId="6" fillId="18" borderId="5" xfId="2" applyNumberFormat="1" applyFont="1" applyFill="1" applyBorder="1" applyAlignment="1">
      <alignment horizontal="center" vertical="center"/>
    </xf>
    <xf numFmtId="0" fontId="6" fillId="19" borderId="4" xfId="2" applyNumberFormat="1" applyFont="1" applyFill="1" applyBorder="1" applyAlignment="1">
      <alignment horizontal="center" vertical="center"/>
    </xf>
    <xf numFmtId="0" fontId="6" fillId="19" borderId="1" xfId="2" applyNumberFormat="1" applyFont="1" applyFill="1" applyBorder="1" applyAlignment="1">
      <alignment horizontal="center" vertical="center"/>
    </xf>
    <xf numFmtId="0" fontId="6" fillId="19" borderId="5" xfId="2" applyNumberFormat="1" applyFont="1" applyFill="1" applyBorder="1" applyAlignment="1">
      <alignment horizontal="center" vertical="center"/>
    </xf>
    <xf numFmtId="0" fontId="6" fillId="20" borderId="4" xfId="2" applyNumberFormat="1" applyFont="1" applyFill="1" applyBorder="1" applyAlignment="1">
      <alignment horizontal="center" vertical="center"/>
    </xf>
    <xf numFmtId="0" fontId="6" fillId="20" borderId="1" xfId="2" applyNumberFormat="1" applyFont="1" applyFill="1" applyBorder="1" applyAlignment="1">
      <alignment horizontal="center" vertical="center"/>
    </xf>
    <xf numFmtId="0" fontId="6" fillId="20" borderId="5" xfId="2" applyNumberFormat="1" applyFont="1" applyFill="1" applyBorder="1" applyAlignment="1">
      <alignment horizontal="center" vertical="center"/>
    </xf>
    <xf numFmtId="0" fontId="6" fillId="21" borderId="4" xfId="2" applyNumberFormat="1" applyFont="1" applyFill="1" applyBorder="1" applyAlignment="1">
      <alignment horizontal="center" vertical="center"/>
    </xf>
    <xf numFmtId="0" fontId="6" fillId="21" borderId="1" xfId="2" applyNumberFormat="1" applyFont="1" applyFill="1" applyBorder="1" applyAlignment="1">
      <alignment horizontal="center" vertical="center"/>
    </xf>
    <xf numFmtId="0" fontId="2" fillId="2" borderId="68" xfId="2" applyNumberFormat="1" applyFont="1" applyFill="1" applyBorder="1" applyAlignment="1">
      <alignment horizontal="center" vertical="center"/>
    </xf>
    <xf numFmtId="0" fontId="2" fillId="2" borderId="69" xfId="2" applyNumberFormat="1" applyFont="1" applyFill="1" applyBorder="1" applyAlignment="1">
      <alignment horizontal="center" vertical="center"/>
    </xf>
    <xf numFmtId="0" fontId="2" fillId="2" borderId="70" xfId="2" applyNumberFormat="1" applyFont="1" applyFill="1" applyBorder="1" applyAlignment="1">
      <alignment horizontal="center" vertical="center"/>
    </xf>
    <xf numFmtId="0" fontId="21" fillId="8" borderId="0" xfId="0" applyFont="1" applyFill="1" applyAlignment="1">
      <alignment horizontal="center" vertical="center" wrapText="1"/>
    </xf>
    <xf numFmtId="167" fontId="2" fillId="8" borderId="0" xfId="0" applyNumberFormat="1" applyFont="1" applyFill="1" applyAlignment="1">
      <alignment horizontal="center" vertical="center"/>
    </xf>
    <xf numFmtId="0" fontId="21" fillId="17" borderId="0" xfId="0" applyFont="1" applyFill="1" applyAlignment="1">
      <alignment horizontal="center" vertical="center" wrapText="1"/>
    </xf>
    <xf numFmtId="0" fontId="2" fillId="2" borderId="4" xfId="2" applyNumberFormat="1" applyFont="1" applyFill="1" applyBorder="1" applyAlignment="1">
      <alignment horizontal="left" vertical="center"/>
    </xf>
    <xf numFmtId="0" fontId="2" fillId="17" borderId="67" xfId="0" applyFont="1" applyFill="1" applyBorder="1" applyAlignment="1">
      <alignment horizontal="center" vertical="center" wrapText="1"/>
    </xf>
    <xf numFmtId="0" fontId="2" fillId="17" borderId="0" xfId="0" applyFont="1" applyFill="1" applyAlignment="1">
      <alignment horizontal="center" vertical="center" wrapText="1"/>
    </xf>
    <xf numFmtId="0" fontId="2" fillId="17" borderId="77" xfId="0" applyFont="1" applyFill="1" applyBorder="1" applyAlignment="1">
      <alignment horizontal="center" vertical="center" wrapText="1"/>
    </xf>
    <xf numFmtId="0" fontId="21" fillId="8" borderId="0" xfId="0" applyFont="1" applyFill="1" applyAlignment="1">
      <alignment horizontal="center" vertical="center"/>
    </xf>
    <xf numFmtId="49" fontId="4" fillId="2" borderId="0" xfId="0" applyNumberFormat="1" applyFont="1" applyFill="1" applyAlignment="1">
      <alignment horizontal="center" vertical="center"/>
    </xf>
    <xf numFmtId="0" fontId="2" fillId="17" borderId="66" xfId="0" applyFont="1" applyFill="1" applyBorder="1" applyAlignment="1">
      <alignment horizontal="center" vertical="center" wrapText="1"/>
    </xf>
    <xf numFmtId="0" fontId="2" fillId="17" borderId="78" xfId="0" applyFont="1" applyFill="1" applyBorder="1" applyAlignment="1">
      <alignment horizontal="center" vertical="center" wrapText="1"/>
    </xf>
    <xf numFmtId="0" fontId="0" fillId="8" borderId="0" xfId="0" applyFill="1" applyAlignment="1">
      <alignment horizontal="center" vertical="center"/>
    </xf>
    <xf numFmtId="0" fontId="2" fillId="8" borderId="0" xfId="0" applyFont="1" applyFill="1" applyAlignment="1">
      <alignment horizontal="center" vertical="center"/>
    </xf>
    <xf numFmtId="165" fontId="0" fillId="8" borderId="0" xfId="2" applyNumberFormat="1" applyFont="1" applyFill="1" applyAlignment="1">
      <alignment horizontal="center" vertical="center"/>
    </xf>
    <xf numFmtId="0" fontId="2" fillId="2" borderId="71" xfId="2" applyNumberFormat="1" applyFont="1" applyFill="1" applyBorder="1" applyAlignment="1">
      <alignment horizontal="center" vertical="center"/>
    </xf>
    <xf numFmtId="0" fontId="2" fillId="2" borderId="72" xfId="2" applyNumberFormat="1" applyFont="1" applyFill="1" applyBorder="1" applyAlignment="1">
      <alignment horizontal="center" vertical="center"/>
    </xf>
    <xf numFmtId="41" fontId="2" fillId="8" borderId="0" xfId="0" applyNumberFormat="1" applyFont="1" applyFill="1" applyAlignment="1">
      <alignment horizontal="center" vertical="center"/>
    </xf>
    <xf numFmtId="0" fontId="2" fillId="8" borderId="61" xfId="0" applyFont="1" applyFill="1" applyBorder="1" applyAlignment="1">
      <alignment horizontal="center" vertical="center"/>
    </xf>
    <xf numFmtId="165" fontId="2" fillId="8" borderId="61" xfId="2" applyNumberFormat="1" applyFont="1" applyFill="1" applyBorder="1" applyAlignment="1">
      <alignment horizontal="center" vertical="center"/>
    </xf>
    <xf numFmtId="0" fontId="2" fillId="5" borderId="4" xfId="0" applyFont="1" applyFill="1" applyBorder="1" applyAlignment="1">
      <alignment horizontal="center" vertical="center"/>
    </xf>
    <xf numFmtId="0" fontId="2" fillId="5" borderId="1" xfId="0" applyFont="1" applyFill="1" applyBorder="1" applyAlignment="1">
      <alignment horizontal="center" vertical="center"/>
    </xf>
    <xf numFmtId="0" fontId="2" fillId="7" borderId="36" xfId="0" applyFont="1" applyFill="1" applyBorder="1" applyAlignment="1">
      <alignment horizontal="center" vertical="center"/>
    </xf>
    <xf numFmtId="0" fontId="2" fillId="7" borderId="34" xfId="0" applyFont="1" applyFill="1" applyBorder="1" applyAlignment="1">
      <alignment horizontal="center" vertical="center"/>
    </xf>
    <xf numFmtId="0" fontId="2" fillId="7" borderId="14" xfId="0" applyFont="1" applyFill="1" applyBorder="1" applyAlignment="1">
      <alignment horizontal="center" vertical="center" wrapText="1"/>
    </xf>
    <xf numFmtId="0" fontId="2" fillId="7" borderId="13" xfId="0" applyFont="1" applyFill="1" applyBorder="1" applyAlignment="1">
      <alignment horizontal="center" vertical="center" wrapText="1"/>
    </xf>
    <xf numFmtId="0" fontId="2" fillId="7" borderId="33" xfId="0" applyFont="1" applyFill="1" applyBorder="1" applyAlignment="1">
      <alignment horizontal="center" vertical="center" wrapText="1"/>
    </xf>
    <xf numFmtId="0" fontId="4" fillId="5" borderId="14" xfId="0" applyFont="1" applyFill="1" applyBorder="1" applyAlignment="1">
      <alignment horizontal="center" vertical="center"/>
    </xf>
    <xf numFmtId="0" fontId="4" fillId="5" borderId="13" xfId="0" applyFont="1" applyFill="1" applyBorder="1" applyAlignment="1">
      <alignment horizontal="center" vertical="center"/>
    </xf>
    <xf numFmtId="0" fontId="4" fillId="5" borderId="15" xfId="0" applyFont="1" applyFill="1" applyBorder="1" applyAlignment="1">
      <alignment horizontal="center" vertical="center"/>
    </xf>
    <xf numFmtId="0" fontId="2" fillId="0" borderId="13" xfId="0" applyFont="1" applyBorder="1" applyAlignment="1">
      <alignment horizontal="center" vertical="center" wrapText="1"/>
    </xf>
    <xf numFmtId="0" fontId="2" fillId="0" borderId="33" xfId="0" applyFont="1" applyBorder="1" applyAlignment="1">
      <alignment horizontal="center" vertical="center" wrapText="1"/>
    </xf>
    <xf numFmtId="0" fontId="6" fillId="11" borderId="13" xfId="0" applyFont="1" applyFill="1" applyBorder="1" applyAlignment="1">
      <alignment horizontal="center" vertical="center" wrapText="1"/>
    </xf>
    <xf numFmtId="0" fontId="6" fillId="11" borderId="15" xfId="0" applyFont="1" applyFill="1" applyBorder="1" applyAlignment="1">
      <alignment horizontal="center" vertical="center" wrapText="1"/>
    </xf>
    <xf numFmtId="0" fontId="4" fillId="12" borderId="13" xfId="0" applyFont="1" applyFill="1" applyBorder="1" applyAlignment="1">
      <alignment horizontal="center" vertical="center"/>
    </xf>
    <xf numFmtId="0" fontId="4" fillId="12" borderId="15" xfId="0" applyFont="1" applyFill="1" applyBorder="1" applyAlignment="1">
      <alignment horizontal="center" vertical="center"/>
    </xf>
    <xf numFmtId="0" fontId="2" fillId="12" borderId="4" xfId="0" applyFont="1" applyFill="1" applyBorder="1" applyAlignment="1">
      <alignment horizontal="center" vertical="center"/>
    </xf>
    <xf numFmtId="0" fontId="2" fillId="12" borderId="1" xfId="0" applyFont="1" applyFill="1" applyBorder="1" applyAlignment="1">
      <alignment horizontal="center" vertical="center"/>
    </xf>
    <xf numFmtId="0" fontId="4" fillId="12" borderId="14" xfId="0" applyFont="1" applyFill="1" applyBorder="1" applyAlignment="1">
      <alignment horizontal="center" vertical="center"/>
    </xf>
    <xf numFmtId="0" fontId="6" fillId="11" borderId="4" xfId="0" applyFont="1" applyFill="1" applyBorder="1" applyAlignment="1">
      <alignment horizontal="center" vertical="center"/>
    </xf>
    <xf numFmtId="0" fontId="6" fillId="11" borderId="1" xfId="0" applyFont="1" applyFill="1" applyBorder="1" applyAlignment="1">
      <alignment horizontal="center" vertical="center"/>
    </xf>
    <xf numFmtId="0" fontId="2" fillId="5" borderId="8" xfId="0" applyFont="1" applyFill="1" applyBorder="1" applyAlignment="1">
      <alignment horizontal="center" vertical="center"/>
    </xf>
    <xf numFmtId="0" fontId="6" fillId="11" borderId="37" xfId="0" applyFont="1" applyFill="1" applyBorder="1" applyAlignment="1">
      <alignment horizontal="center" vertical="center" wrapText="1"/>
    </xf>
    <xf numFmtId="0" fontId="6" fillId="11" borderId="33" xfId="0" applyFont="1" applyFill="1" applyBorder="1" applyAlignment="1">
      <alignment horizontal="center" vertical="center" wrapText="1"/>
    </xf>
    <xf numFmtId="0" fontId="4" fillId="12" borderId="37" xfId="0" applyFont="1" applyFill="1" applyBorder="1" applyAlignment="1">
      <alignment horizontal="center" vertical="center"/>
    </xf>
    <xf numFmtId="0" fontId="6" fillId="11" borderId="36" xfId="0" applyFont="1" applyFill="1" applyBorder="1" applyAlignment="1">
      <alignment horizontal="center" vertical="center"/>
    </xf>
    <xf numFmtId="0" fontId="6" fillId="11" borderId="34" xfId="0" applyFont="1" applyFill="1" applyBorder="1" applyAlignment="1">
      <alignment horizontal="center" vertical="center"/>
    </xf>
    <xf numFmtId="0" fontId="2" fillId="0" borderId="14" xfId="0" applyFont="1" applyBorder="1" applyAlignment="1">
      <alignment horizontal="center" vertical="center" wrapText="1"/>
    </xf>
    <xf numFmtId="0" fontId="6" fillId="11" borderId="14" xfId="0" applyFont="1" applyFill="1" applyBorder="1" applyAlignment="1">
      <alignment horizontal="center" vertical="center" wrapText="1"/>
    </xf>
    <xf numFmtId="0" fontId="2" fillId="5" borderId="11" xfId="0" applyFont="1" applyFill="1" applyBorder="1" applyAlignment="1">
      <alignment horizontal="center" vertical="center"/>
    </xf>
    <xf numFmtId="0" fontId="2" fillId="5" borderId="0" xfId="0" applyFont="1" applyFill="1" applyAlignment="1">
      <alignment horizontal="center" vertical="center"/>
    </xf>
    <xf numFmtId="0" fontId="2" fillId="0" borderId="93" xfId="0" applyFont="1" applyBorder="1" applyAlignment="1">
      <alignment horizontal="center" vertical="center" wrapText="1"/>
    </xf>
    <xf numFmtId="0" fontId="2" fillId="0" borderId="2" xfId="0" applyFont="1" applyBorder="1" applyAlignment="1">
      <alignment horizontal="center" vertical="center" wrapText="1"/>
    </xf>
    <xf numFmtId="0" fontId="2" fillId="0" borderId="94" xfId="0" applyFont="1" applyBorder="1" applyAlignment="1">
      <alignment horizontal="center" vertical="center" wrapText="1"/>
    </xf>
    <xf numFmtId="0" fontId="12" fillId="9" borderId="5" xfId="0" applyFont="1" applyFill="1" applyBorder="1" applyAlignment="1">
      <alignment horizontal="center"/>
    </xf>
    <xf numFmtId="0" fontId="12" fillId="9" borderId="2" xfId="0" applyFont="1" applyFill="1" applyBorder="1" applyAlignment="1">
      <alignment horizontal="center"/>
    </xf>
    <xf numFmtId="0" fontId="2" fillId="0" borderId="37" xfId="0" applyFont="1" applyBorder="1" applyAlignment="1">
      <alignment horizontal="center" vertical="center" wrapText="1"/>
    </xf>
    <xf numFmtId="0" fontId="6" fillId="14" borderId="4" xfId="0" applyFont="1" applyFill="1" applyBorder="1" applyAlignment="1">
      <alignment horizontal="center"/>
    </xf>
    <xf numFmtId="0" fontId="6" fillId="14" borderId="1" xfId="0" applyFont="1" applyFill="1" applyBorder="1" applyAlignment="1">
      <alignment horizontal="center"/>
    </xf>
    <xf numFmtId="0" fontId="6" fillId="14" borderId="5" xfId="0" applyFont="1" applyFill="1" applyBorder="1" applyAlignment="1">
      <alignment horizontal="center"/>
    </xf>
    <xf numFmtId="0" fontId="2" fillId="0" borderId="130" xfId="0" applyFont="1" applyBorder="1" applyAlignment="1">
      <alignment horizontal="center" vertical="center" readingOrder="2"/>
    </xf>
    <xf numFmtId="0" fontId="2" fillId="0" borderId="97" xfId="0" applyFont="1" applyBorder="1" applyAlignment="1">
      <alignment horizontal="center" vertical="center" readingOrder="2"/>
    </xf>
    <xf numFmtId="0" fontId="27" fillId="0" borderId="130" xfId="0" applyFont="1" applyBorder="1" applyAlignment="1">
      <alignment horizontal="center" vertical="center" readingOrder="2"/>
    </xf>
    <xf numFmtId="0" fontId="27" fillId="0" borderId="97" xfId="0" applyFont="1" applyBorder="1" applyAlignment="1">
      <alignment horizontal="center" vertical="center" readingOrder="2"/>
    </xf>
    <xf numFmtId="0" fontId="26" fillId="0" borderId="132" xfId="0" applyFont="1" applyBorder="1" applyAlignment="1">
      <alignment horizontal="center" vertical="center" readingOrder="2"/>
    </xf>
    <xf numFmtId="0" fontId="26" fillId="0" borderId="133" xfId="0" applyFont="1" applyBorder="1" applyAlignment="1">
      <alignment horizontal="center" vertical="center" readingOrder="2"/>
    </xf>
    <xf numFmtId="0" fontId="26" fillId="3" borderId="130" xfId="0" applyFont="1" applyFill="1" applyBorder="1" applyAlignment="1">
      <alignment horizontal="center" vertical="center" readingOrder="2"/>
    </xf>
    <xf numFmtId="0" fontId="26" fillId="3" borderId="97" xfId="0" applyFont="1" applyFill="1" applyBorder="1" applyAlignment="1">
      <alignment horizontal="center" vertical="center" readingOrder="2"/>
    </xf>
    <xf numFmtId="0" fontId="26" fillId="3" borderId="131" xfId="0" applyFont="1" applyFill="1" applyBorder="1" applyAlignment="1">
      <alignment horizontal="center" vertical="center" readingOrder="2"/>
    </xf>
    <xf numFmtId="0" fontId="26" fillId="3" borderId="127" xfId="0" applyFont="1" applyFill="1" applyBorder="1" applyAlignment="1">
      <alignment horizontal="center" vertical="center" readingOrder="2"/>
    </xf>
    <xf numFmtId="0" fontId="26" fillId="3" borderId="128" xfId="0" applyFont="1" applyFill="1" applyBorder="1" applyAlignment="1">
      <alignment horizontal="center" vertical="center" readingOrder="2"/>
    </xf>
    <xf numFmtId="0" fontId="26" fillId="3" borderId="129" xfId="0" applyFont="1" applyFill="1" applyBorder="1" applyAlignment="1">
      <alignment horizontal="center" vertical="center" readingOrder="2"/>
    </xf>
    <xf numFmtId="0" fontId="4" fillId="12" borderId="4" xfId="0" applyFont="1" applyFill="1" applyBorder="1" applyAlignment="1">
      <alignment horizontal="center"/>
    </xf>
    <xf numFmtId="0" fontId="4" fillId="12" borderId="5" xfId="0" applyFont="1" applyFill="1" applyBorder="1" applyAlignment="1">
      <alignment horizontal="center"/>
    </xf>
    <xf numFmtId="165" fontId="3" fillId="0" borderId="8" xfId="2" applyNumberFormat="1" applyFont="1" applyBorder="1" applyAlignment="1">
      <alignment horizontal="center" wrapText="1"/>
    </xf>
    <xf numFmtId="165" fontId="3" fillId="0" borderId="3" xfId="2" applyNumberFormat="1" applyFont="1" applyBorder="1" applyAlignment="1">
      <alignment horizontal="center" wrapText="1"/>
    </xf>
    <xf numFmtId="0" fontId="0" fillId="0" borderId="0" xfId="0" applyBorder="1" applyAlignment="1">
      <alignment horizontal="center"/>
    </xf>
    <xf numFmtId="0" fontId="103" fillId="4" borderId="250" xfId="0" applyFont="1" applyFill="1" applyBorder="1" applyAlignment="1" applyProtection="1">
      <alignment horizontal="center" vertical="center" readingOrder="2"/>
      <protection hidden="1"/>
    </xf>
    <xf numFmtId="0" fontId="103" fillId="4" borderId="249" xfId="0" applyFont="1" applyFill="1" applyBorder="1" applyAlignment="1" applyProtection="1">
      <alignment horizontal="center" vertical="center" readingOrder="2"/>
      <protection hidden="1"/>
    </xf>
    <xf numFmtId="9" fontId="0" fillId="0" borderId="2" xfId="1" applyFont="1" applyBorder="1" applyAlignment="1">
      <alignment horizontal="center"/>
    </xf>
    <xf numFmtId="9" fontId="0" fillId="0" borderId="246" xfId="1" applyFont="1" applyBorder="1" applyAlignment="1">
      <alignment horizontal="center"/>
    </xf>
    <xf numFmtId="178" fontId="0" fillId="0" borderId="2" xfId="7" applyNumberFormat="1" applyFont="1" applyBorder="1" applyAlignment="1">
      <alignment horizontal="center"/>
    </xf>
    <xf numFmtId="178" fontId="0" fillId="0" borderId="246" xfId="7" applyNumberFormat="1" applyFont="1" applyBorder="1" applyAlignment="1">
      <alignment horizontal="center"/>
    </xf>
    <xf numFmtId="0" fontId="5" fillId="0" borderId="11" xfId="0" applyFont="1" applyBorder="1" applyAlignment="1">
      <alignment horizontal="center" vertical="center"/>
    </xf>
    <xf numFmtId="0" fontId="5" fillId="0" borderId="6" xfId="0" applyFont="1" applyBorder="1" applyAlignment="1">
      <alignment horizontal="center" vertical="center"/>
    </xf>
    <xf numFmtId="9" fontId="0" fillId="0" borderId="4" xfId="1" applyFont="1" applyBorder="1" applyAlignment="1">
      <alignment horizontal="center"/>
    </xf>
    <xf numFmtId="9" fontId="0" fillId="0" borderId="21" xfId="1" applyFont="1" applyBorder="1" applyAlignment="1">
      <alignment horizontal="center"/>
    </xf>
    <xf numFmtId="0" fontId="103" fillId="0" borderId="0" xfId="0" applyFont="1" applyFill="1" applyBorder="1" applyAlignment="1" applyProtection="1">
      <alignment horizontal="center" vertical="center" readingOrder="2"/>
      <protection hidden="1"/>
    </xf>
    <xf numFmtId="0" fontId="43" fillId="0" borderId="115" xfId="0" applyFont="1" applyBorder="1" applyAlignment="1">
      <alignment horizontal="center" vertical="center"/>
    </xf>
    <xf numFmtId="0" fontId="43" fillId="0" borderId="116" xfId="0" applyFont="1" applyBorder="1" applyAlignment="1">
      <alignment horizontal="center" vertical="center"/>
    </xf>
    <xf numFmtId="0" fontId="42" fillId="4" borderId="163" xfId="0" applyFont="1" applyFill="1" applyBorder="1" applyAlignment="1">
      <alignment horizontal="center" vertical="center"/>
    </xf>
    <xf numFmtId="0" fontId="42" fillId="4" borderId="164" xfId="0" applyFont="1" applyFill="1" applyBorder="1" applyAlignment="1">
      <alignment horizontal="center" vertical="center"/>
    </xf>
    <xf numFmtId="0" fontId="42" fillId="4" borderId="165" xfId="0" applyFont="1" applyFill="1" applyBorder="1" applyAlignment="1">
      <alignment horizontal="center" vertical="center"/>
    </xf>
    <xf numFmtId="0" fontId="43" fillId="26" borderId="168" xfId="0" applyFont="1" applyFill="1" applyBorder="1" applyAlignment="1">
      <alignment horizontal="right" vertical="center"/>
    </xf>
    <xf numFmtId="0" fontId="43" fillId="26" borderId="167" xfId="0" applyFont="1" applyFill="1" applyBorder="1" applyAlignment="1">
      <alignment horizontal="right" vertical="center"/>
    </xf>
    <xf numFmtId="0" fontId="42" fillId="4" borderId="156" xfId="0" applyFont="1" applyFill="1" applyBorder="1" applyAlignment="1">
      <alignment horizontal="center" vertical="center"/>
    </xf>
    <xf numFmtId="0" fontId="42" fillId="4" borderId="171" xfId="0" applyFont="1" applyFill="1" applyBorder="1" applyAlignment="1">
      <alignment horizontal="center" vertical="center"/>
    </xf>
    <xf numFmtId="0" fontId="43" fillId="0" borderId="168" xfId="0" applyFont="1" applyBorder="1" applyAlignment="1">
      <alignment horizontal="center" vertical="center"/>
    </xf>
    <xf numFmtId="0" fontId="43" fillId="0" borderId="169" xfId="0" applyFont="1" applyBorder="1" applyAlignment="1">
      <alignment horizontal="center" vertical="center"/>
    </xf>
    <xf numFmtId="0" fontId="43" fillId="26" borderId="166" xfId="0" applyFont="1" applyFill="1" applyBorder="1" applyAlignment="1">
      <alignment horizontal="right" vertical="center"/>
    </xf>
    <xf numFmtId="0" fontId="43" fillId="26" borderId="115" xfId="0" applyFont="1" applyFill="1" applyBorder="1" applyAlignment="1">
      <alignment horizontal="right" vertical="center"/>
    </xf>
    <xf numFmtId="0" fontId="43" fillId="0" borderId="168" xfId="0" applyFont="1" applyBorder="1" applyAlignment="1">
      <alignment horizontal="center" vertical="center" readingOrder="2"/>
    </xf>
    <xf numFmtId="0" fontId="43" fillId="0" borderId="169" xfId="0" applyFont="1" applyBorder="1" applyAlignment="1">
      <alignment horizontal="center" vertical="center" readingOrder="2"/>
    </xf>
    <xf numFmtId="0" fontId="30" fillId="0" borderId="2" xfId="0" applyFont="1" applyBorder="1" applyAlignment="1">
      <alignment horizontal="center" vertical="center"/>
    </xf>
    <xf numFmtId="0" fontId="93" fillId="0" borderId="0" xfId="0" applyFont="1" applyAlignment="1">
      <alignment horizontal="right" vertical="center" readingOrder="2"/>
    </xf>
    <xf numFmtId="0" fontId="98" fillId="0" borderId="0" xfId="0" applyFont="1" applyAlignment="1">
      <alignment horizontal="left" vertical="center" readingOrder="2"/>
    </xf>
    <xf numFmtId="0" fontId="95" fillId="0" borderId="2" xfId="0" applyFont="1" applyBorder="1" applyAlignment="1">
      <alignment horizontal="center" vertical="center" wrapText="1" readingOrder="2"/>
    </xf>
    <xf numFmtId="0" fontId="92" fillId="36" borderId="2" xfId="0" applyFont="1" applyFill="1" applyBorder="1" applyAlignment="1">
      <alignment horizontal="center" vertical="center" wrapText="1" readingOrder="2"/>
    </xf>
    <xf numFmtId="0" fontId="98" fillId="38" borderId="0" xfId="0" applyFont="1" applyFill="1" applyAlignment="1">
      <alignment horizontal="right" vertical="center" readingOrder="2"/>
    </xf>
    <xf numFmtId="0" fontId="98" fillId="0" borderId="0" xfId="0" applyFont="1" applyAlignment="1">
      <alignment horizontal="center" vertical="center" readingOrder="2"/>
    </xf>
    <xf numFmtId="0" fontId="92" fillId="0" borderId="0" xfId="0" applyFont="1" applyAlignment="1">
      <alignment horizontal="left" vertical="center" readingOrder="2"/>
    </xf>
    <xf numFmtId="0" fontId="93" fillId="0" borderId="3" xfId="0" applyFont="1" applyBorder="1" applyAlignment="1">
      <alignment horizontal="right" vertical="center" readingOrder="2"/>
    </xf>
    <xf numFmtId="0" fontId="93" fillId="0" borderId="0" xfId="0" applyFont="1" applyAlignment="1">
      <alignment horizontal="right" vertical="center" wrapText="1" readingOrder="2"/>
    </xf>
    <xf numFmtId="0" fontId="8" fillId="0" borderId="115" xfId="0" applyFont="1" applyBorder="1" applyAlignment="1">
      <alignment horizontal="center" vertical="center"/>
    </xf>
    <xf numFmtId="0" fontId="8" fillId="0" borderId="115" xfId="0" applyFont="1" applyBorder="1" applyAlignment="1">
      <alignment horizontal="center" vertical="center" wrapText="1"/>
    </xf>
    <xf numFmtId="0" fontId="12" fillId="4" borderId="2" xfId="0" applyFont="1" applyFill="1" applyBorder="1" applyAlignment="1">
      <alignment horizontal="center" vertical="center" wrapText="1"/>
    </xf>
    <xf numFmtId="0" fontId="39" fillId="4" borderId="4" xfId="0" applyFont="1" applyFill="1" applyBorder="1" applyAlignment="1">
      <alignment horizontal="center" vertical="center"/>
    </xf>
    <xf numFmtId="0" fontId="39" fillId="4" borderId="1" xfId="0" applyFont="1" applyFill="1" applyBorder="1" applyAlignment="1">
      <alignment horizontal="center" vertical="center"/>
    </xf>
    <xf numFmtId="0" fontId="39" fillId="4" borderId="5" xfId="0" applyFont="1" applyFill="1" applyBorder="1" applyAlignment="1">
      <alignment horizontal="center" vertical="center"/>
    </xf>
    <xf numFmtId="0" fontId="2" fillId="0" borderId="2" xfId="0" applyFont="1" applyBorder="1" applyAlignment="1">
      <alignment horizontal="center" vertical="center"/>
    </xf>
    <xf numFmtId="0" fontId="6" fillId="4" borderId="115" xfId="0" applyFont="1" applyFill="1" applyBorder="1" applyAlignment="1">
      <alignment horizontal="center" vertical="center" wrapText="1"/>
    </xf>
    <xf numFmtId="0" fontId="12" fillId="4" borderId="5" xfId="0" applyFont="1" applyFill="1" applyBorder="1" applyAlignment="1">
      <alignment horizontal="right" vertical="center" wrapText="1"/>
    </xf>
    <xf numFmtId="0" fontId="12" fillId="4" borderId="2" xfId="0" applyFont="1" applyFill="1" applyBorder="1" applyAlignment="1">
      <alignment horizontal="right" vertical="center" wrapText="1"/>
    </xf>
    <xf numFmtId="0" fontId="39" fillId="4" borderId="14" xfId="0" applyFont="1" applyFill="1" applyBorder="1" applyAlignment="1">
      <alignment horizontal="center" vertical="center" wrapText="1"/>
    </xf>
    <xf numFmtId="0" fontId="39" fillId="4" borderId="15" xfId="0" applyFont="1" applyFill="1" applyBorder="1" applyAlignment="1">
      <alignment horizontal="center" vertical="center" wrapText="1"/>
    </xf>
    <xf numFmtId="0" fontId="39" fillId="4" borderId="14" xfId="0" applyFont="1" applyFill="1" applyBorder="1" applyAlignment="1">
      <alignment horizontal="center" vertical="center"/>
    </xf>
    <xf numFmtId="0" fontId="39" fillId="4" borderId="15" xfId="0" applyFont="1" applyFill="1" applyBorder="1" applyAlignment="1">
      <alignment horizontal="center" vertical="center"/>
    </xf>
    <xf numFmtId="0" fontId="51" fillId="0" borderId="0" xfId="0" applyFont="1" applyAlignment="1">
      <alignment horizontal="right" vertical="center" wrapText="1" readingOrder="2"/>
    </xf>
    <xf numFmtId="0" fontId="52" fillId="0" borderId="0" xfId="0" applyFont="1" applyAlignment="1">
      <alignment horizontal="right" vertical="center" wrapText="1" readingOrder="2"/>
    </xf>
    <xf numFmtId="0" fontId="130" fillId="4" borderId="115" xfId="0" applyFont="1" applyFill="1" applyBorder="1" applyAlignment="1">
      <alignment horizontal="right" vertical="center" wrapText="1" readingOrder="2"/>
    </xf>
    <xf numFmtId="0" fontId="129" fillId="0" borderId="0" xfId="0" applyFont="1" applyAlignment="1">
      <alignment horizontal="center" vertical="center" wrapText="1" readingOrder="2"/>
    </xf>
    <xf numFmtId="0" fontId="51" fillId="0" borderId="0" xfId="0" applyFont="1" applyAlignment="1">
      <alignment horizontal="right" vertical="center" wrapText="1"/>
    </xf>
    <xf numFmtId="0" fontId="131" fillId="0" borderId="0" xfId="0" applyFont="1" applyAlignment="1">
      <alignment horizontal="right" vertical="center" wrapText="1" readingOrder="2"/>
    </xf>
    <xf numFmtId="0" fontId="51" fillId="0" borderId="0" xfId="0" applyFont="1" applyAlignment="1">
      <alignment horizontal="right" vertical="center" readingOrder="2"/>
    </xf>
    <xf numFmtId="0" fontId="84" fillId="0" borderId="0" xfId="0" applyFont="1" applyAlignment="1">
      <alignment horizontal="right" vertical="center" wrapText="1" readingOrder="2"/>
    </xf>
    <xf numFmtId="0" fontId="86" fillId="34" borderId="0" xfId="0" applyFont="1" applyFill="1" applyAlignment="1">
      <alignment horizontal="right" vertical="center" wrapText="1" readingOrder="2"/>
    </xf>
    <xf numFmtId="0" fontId="85" fillId="0" borderId="0" xfId="0" applyFont="1" applyAlignment="1">
      <alignment horizontal="right" vertical="center" wrapText="1" readingOrder="2"/>
    </xf>
    <xf numFmtId="0" fontId="87" fillId="0" borderId="0" xfId="0" applyFont="1" applyAlignment="1">
      <alignment horizontal="right" vertical="center" wrapText="1" readingOrder="2"/>
    </xf>
    <xf numFmtId="0" fontId="104" fillId="0" borderId="0" xfId="0" applyFont="1" applyAlignment="1">
      <alignment horizontal="center" vertical="center" wrapText="1" readingOrder="2"/>
    </xf>
    <xf numFmtId="0" fontId="89" fillId="0" borderId="0" xfId="0" applyFont="1" applyAlignment="1">
      <alignment horizontal="right" vertical="center" wrapText="1" readingOrder="2"/>
    </xf>
    <xf numFmtId="0" fontId="91" fillId="0" borderId="0" xfId="0" applyFont="1" applyAlignment="1">
      <alignment horizontal="center" vertical="center" wrapText="1" readingOrder="2"/>
    </xf>
    <xf numFmtId="0" fontId="85" fillId="0" borderId="0" xfId="0" applyFont="1" applyAlignment="1">
      <alignment horizontal="right" vertical="center" wrapText="1"/>
    </xf>
    <xf numFmtId="0" fontId="89" fillId="0" borderId="4" xfId="0" applyFont="1" applyBorder="1" applyAlignment="1">
      <alignment horizontal="right" vertical="center" wrapText="1" readingOrder="2"/>
    </xf>
    <xf numFmtId="0" fontId="89" fillId="0" borderId="1" xfId="0" applyFont="1" applyBorder="1" applyAlignment="1">
      <alignment horizontal="right" vertical="center" wrapText="1" readingOrder="2"/>
    </xf>
    <xf numFmtId="0" fontId="89" fillId="0" borderId="5" xfId="0" applyFont="1" applyBorder="1" applyAlignment="1">
      <alignment horizontal="right" vertical="center" wrapText="1" readingOrder="2"/>
    </xf>
    <xf numFmtId="0" fontId="95" fillId="0" borderId="4" xfId="0" applyFont="1" applyBorder="1" applyAlignment="1">
      <alignment horizontal="right" vertical="center" wrapText="1" readingOrder="2"/>
    </xf>
    <xf numFmtId="0" fontId="95" fillId="0" borderId="1" xfId="0" applyFont="1" applyBorder="1" applyAlignment="1">
      <alignment horizontal="right" vertical="center" wrapText="1" readingOrder="2"/>
    </xf>
    <xf numFmtId="0" fontId="95" fillId="0" borderId="5" xfId="0" applyFont="1" applyBorder="1" applyAlignment="1">
      <alignment horizontal="right" vertical="center" wrapText="1" readingOrder="2"/>
    </xf>
    <xf numFmtId="0" fontId="98" fillId="0" borderId="0" xfId="0" applyFont="1" applyAlignment="1">
      <alignment horizontal="right" vertical="center" wrapText="1" readingOrder="2"/>
    </xf>
    <xf numFmtId="14" fontId="93" fillId="0" borderId="2" xfId="0" applyNumberFormat="1" applyFont="1" applyBorder="1" applyAlignment="1">
      <alignment horizontal="right" vertical="center" wrapText="1" readingOrder="2"/>
    </xf>
    <xf numFmtId="0" fontId="92" fillId="0" borderId="0" xfId="0" applyFont="1" applyAlignment="1">
      <alignment horizontal="right" vertical="center" wrapText="1" readingOrder="2"/>
    </xf>
    <xf numFmtId="0" fontId="84" fillId="0" borderId="0" xfId="0" applyFont="1" applyAlignment="1">
      <alignment horizontal="left" vertical="center" wrapText="1" readingOrder="2"/>
    </xf>
    <xf numFmtId="0" fontId="107" fillId="0" borderId="0" xfId="0" applyFont="1" applyAlignment="1">
      <alignment horizontal="center" vertical="center" wrapText="1" readingOrder="2"/>
    </xf>
    <xf numFmtId="0" fontId="93" fillId="0" borderId="2" xfId="0" applyFont="1" applyBorder="1" applyAlignment="1">
      <alignment horizontal="right" vertical="center" wrapText="1" readingOrder="2"/>
    </xf>
    <xf numFmtId="0" fontId="98" fillId="0" borderId="0" xfId="0" applyFont="1" applyAlignment="1">
      <alignment horizontal="center" vertical="center" wrapText="1" readingOrder="2"/>
    </xf>
    <xf numFmtId="0" fontId="92" fillId="0" borderId="0" xfId="0" applyFont="1" applyAlignment="1">
      <alignment horizontal="center" vertical="center" wrapText="1" readingOrder="2"/>
    </xf>
    <xf numFmtId="0" fontId="93" fillId="0" borderId="0" xfId="0" applyFont="1" applyAlignment="1">
      <alignment horizontal="center" vertical="center" wrapText="1" readingOrder="2"/>
    </xf>
    <xf numFmtId="0" fontId="85" fillId="0" borderId="11" xfId="0" applyFont="1" applyBorder="1" applyAlignment="1">
      <alignment horizontal="right" vertical="center" wrapText="1" readingOrder="2"/>
    </xf>
    <xf numFmtId="0" fontId="85" fillId="0" borderId="12" xfId="0" applyFont="1" applyBorder="1" applyAlignment="1">
      <alignment horizontal="right" vertical="center" wrapText="1" readingOrder="2"/>
    </xf>
    <xf numFmtId="0" fontId="87" fillId="0" borderId="11" xfId="0" applyFont="1" applyBorder="1" applyAlignment="1">
      <alignment horizontal="right" vertical="center" wrapText="1" readingOrder="2"/>
    </xf>
    <xf numFmtId="0" fontId="85" fillId="0" borderId="4" xfId="0" applyFont="1" applyBorder="1" applyAlignment="1">
      <alignment horizontal="right" vertical="center" wrapText="1" readingOrder="2"/>
    </xf>
    <xf numFmtId="0" fontId="85" fillId="0" borderId="5" xfId="0" applyFont="1" applyBorder="1" applyAlignment="1">
      <alignment horizontal="right" vertical="center" wrapText="1" readingOrder="2"/>
    </xf>
    <xf numFmtId="0" fontId="85" fillId="0" borderId="6" xfId="0" applyFont="1" applyBorder="1" applyAlignment="1">
      <alignment horizontal="right" vertical="center" wrapText="1" readingOrder="2"/>
    </xf>
    <xf numFmtId="0" fontId="85" fillId="0" borderId="3" xfId="0" applyFont="1" applyBorder="1" applyAlignment="1">
      <alignment horizontal="right" vertical="center" wrapText="1" readingOrder="2"/>
    </xf>
    <xf numFmtId="0" fontId="85" fillId="0" borderId="7" xfId="0" applyFont="1" applyBorder="1" applyAlignment="1">
      <alignment horizontal="right" vertical="center" wrapText="1" readingOrder="2"/>
    </xf>
    <xf numFmtId="0" fontId="84" fillId="0" borderId="9" xfId="0" applyFont="1" applyBorder="1" applyAlignment="1">
      <alignment horizontal="right" vertical="center" wrapText="1" readingOrder="2"/>
    </xf>
    <xf numFmtId="0" fontId="84" fillId="0" borderId="8" xfId="0" applyFont="1" applyBorder="1" applyAlignment="1">
      <alignment horizontal="right" vertical="center" wrapText="1" readingOrder="2"/>
    </xf>
    <xf numFmtId="0" fontId="84" fillId="0" borderId="10" xfId="0" applyFont="1" applyBorder="1" applyAlignment="1">
      <alignment horizontal="right" vertical="center" wrapText="1" readingOrder="2"/>
    </xf>
    <xf numFmtId="0" fontId="84" fillId="0" borderId="4" xfId="0" applyFont="1" applyBorder="1" applyAlignment="1">
      <alignment horizontal="center" vertical="center" wrapText="1" readingOrder="2"/>
    </xf>
    <xf numFmtId="0" fontId="84" fillId="0" borderId="5" xfId="0" applyFont="1" applyBorder="1" applyAlignment="1">
      <alignment horizontal="center" vertical="center" wrapText="1" readingOrder="2"/>
    </xf>
    <xf numFmtId="0" fontId="93" fillId="0" borderId="0" xfId="0" applyFont="1" applyAlignment="1">
      <alignment horizontal="right" wrapText="1" readingOrder="2"/>
    </xf>
    <xf numFmtId="0" fontId="95" fillId="0" borderId="2" xfId="0" applyFont="1" applyBorder="1" applyAlignment="1">
      <alignment horizontal="right" vertical="center" wrapText="1" readingOrder="2"/>
    </xf>
    <xf numFmtId="0" fontId="106" fillId="0" borderId="0" xfId="0" applyFont="1" applyAlignment="1">
      <alignment horizontal="right" vertical="center" wrapText="1" readingOrder="2"/>
    </xf>
    <xf numFmtId="0" fontId="114" fillId="0" borderId="2" xfId="0" applyFont="1" applyBorder="1" applyAlignment="1">
      <alignment horizontal="center" vertical="center" wrapText="1"/>
    </xf>
    <xf numFmtId="0" fontId="106" fillId="0" borderId="0" xfId="0" applyFont="1" applyAlignment="1">
      <alignment horizontal="center" vertical="center" wrapText="1" readingOrder="2"/>
    </xf>
    <xf numFmtId="0" fontId="111" fillId="0" borderId="0" xfId="0" applyFont="1" applyAlignment="1">
      <alignment horizontal="center" vertical="center" wrapText="1" readingOrder="2"/>
    </xf>
    <xf numFmtId="0" fontId="106" fillId="0" borderId="2" xfId="0" applyFont="1" applyBorder="1" applyAlignment="1">
      <alignment horizontal="center" vertical="center" wrapText="1" readingOrder="2"/>
    </xf>
    <xf numFmtId="0" fontId="110" fillId="0" borderId="0" xfId="0" applyFont="1" applyAlignment="1">
      <alignment horizontal="right" vertical="center" wrapText="1" readingOrder="2"/>
    </xf>
    <xf numFmtId="0" fontId="112" fillId="0" borderId="0" xfId="0" applyFont="1" applyAlignment="1">
      <alignment horizontal="right" vertical="center" wrapText="1"/>
    </xf>
    <xf numFmtId="0" fontId="112" fillId="0" borderId="0" xfId="0" applyFont="1" applyAlignment="1">
      <alignment horizontal="left" vertical="center" wrapText="1"/>
    </xf>
    <xf numFmtId="0" fontId="112" fillId="0" borderId="0" xfId="0" applyFont="1" applyAlignment="1">
      <alignment horizontal="right" vertical="center" wrapText="1" readingOrder="2"/>
    </xf>
    <xf numFmtId="0" fontId="117" fillId="0" borderId="0" xfId="0" applyFont="1" applyAlignment="1">
      <alignment horizontal="center" vertical="center" wrapText="1"/>
    </xf>
    <xf numFmtId="0" fontId="112" fillId="0" borderId="0" xfId="0" applyFont="1" applyAlignment="1">
      <alignment horizontal="center" vertical="center" wrapText="1"/>
    </xf>
    <xf numFmtId="0" fontId="115" fillId="0" borderId="0" xfId="0" applyFont="1" applyAlignment="1">
      <alignment horizontal="right" vertical="center" wrapText="1" readingOrder="2"/>
    </xf>
    <xf numFmtId="0" fontId="106" fillId="0" borderId="2" xfId="0" applyFont="1" applyBorder="1" applyAlignment="1">
      <alignment horizontal="right" vertical="center" wrapText="1" readingOrder="2"/>
    </xf>
    <xf numFmtId="0" fontId="68" fillId="0" borderId="0" xfId="0" applyFont="1" applyAlignment="1">
      <alignment horizontal="right" vertical="center" wrapText="1" readingOrder="2"/>
    </xf>
    <xf numFmtId="0" fontId="69" fillId="0" borderId="0" xfId="0" applyFont="1" applyAlignment="1">
      <alignment horizontal="right" vertical="center" wrapText="1" readingOrder="2"/>
    </xf>
    <xf numFmtId="0" fontId="30" fillId="0" borderId="0" xfId="0" applyFont="1" applyAlignment="1">
      <alignment horizontal="right" vertical="center" wrapText="1" readingOrder="2"/>
    </xf>
    <xf numFmtId="0" fontId="0" fillId="0" borderId="0" xfId="0" applyAlignment="1">
      <alignment horizontal="right" vertical="top" wrapText="1"/>
    </xf>
    <xf numFmtId="0" fontId="57" fillId="0" borderId="0" xfId="0" applyFont="1" applyAlignment="1">
      <alignment horizontal="center" vertical="center" wrapText="1" readingOrder="2"/>
    </xf>
    <xf numFmtId="0" fontId="67" fillId="4" borderId="115" xfId="0" applyFont="1" applyFill="1" applyBorder="1" applyAlignment="1">
      <alignment horizontal="center" vertical="center" wrapText="1"/>
    </xf>
    <xf numFmtId="0" fontId="76" fillId="0" borderId="0" xfId="0" applyFont="1" applyAlignment="1">
      <alignment horizontal="right" vertical="center" wrapText="1" readingOrder="2"/>
    </xf>
    <xf numFmtId="0" fontId="77" fillId="0" borderId="0" xfId="0" applyFont="1" applyAlignment="1">
      <alignment horizontal="right" vertical="center" wrapText="1" readingOrder="2"/>
    </xf>
    <xf numFmtId="0" fontId="80" fillId="0" borderId="2" xfId="0" applyFont="1" applyBorder="1" applyAlignment="1">
      <alignment horizontal="right" vertical="center" wrapText="1" readingOrder="2"/>
    </xf>
    <xf numFmtId="0" fontId="72" fillId="34" borderId="2" xfId="0" applyFont="1" applyFill="1" applyBorder="1" applyAlignment="1">
      <alignment horizontal="right" vertical="center" wrapText="1" readingOrder="2"/>
    </xf>
    <xf numFmtId="0" fontId="82" fillId="0" borderId="0" xfId="0" applyFont="1" applyAlignment="1">
      <alignment horizontal="right" vertical="center" wrapText="1" readingOrder="2"/>
    </xf>
    <xf numFmtId="0" fontId="83" fillId="0" borderId="0" xfId="0" applyFont="1" applyAlignment="1">
      <alignment horizontal="right" vertical="center" wrapText="1" readingOrder="2"/>
    </xf>
    <xf numFmtId="0" fontId="69" fillId="0" borderId="2" xfId="0" applyFont="1" applyBorder="1" applyAlignment="1">
      <alignment horizontal="right" vertical="center" wrapText="1" readingOrder="2"/>
    </xf>
    <xf numFmtId="0" fontId="82" fillId="0" borderId="0" xfId="0" applyFont="1" applyAlignment="1">
      <alignment horizontal="right" vertical="center" wrapText="1"/>
    </xf>
    <xf numFmtId="0" fontId="68" fillId="0" borderId="0" xfId="0" applyFont="1" applyAlignment="1">
      <alignment horizontal="right" vertical="center" wrapText="1"/>
    </xf>
    <xf numFmtId="0" fontId="57" fillId="0" borderId="2" xfId="0" applyFont="1" applyBorder="1" applyAlignment="1">
      <alignment horizontal="right" vertical="center" wrapText="1" readingOrder="2"/>
    </xf>
    <xf numFmtId="0" fontId="50" fillId="0" borderId="0" xfId="0" applyFont="1" applyAlignment="1">
      <alignment horizontal="right" vertical="center" wrapText="1" readingOrder="2"/>
    </xf>
    <xf numFmtId="0" fontId="0" fillId="0" borderId="0" xfId="0" applyAlignment="1">
      <alignment horizontal="right" vertical="center" wrapText="1" readingOrder="2"/>
    </xf>
    <xf numFmtId="0" fontId="69" fillId="0" borderId="3" xfId="0" applyFont="1" applyBorder="1" applyAlignment="1">
      <alignment horizontal="right" vertical="center" wrapText="1" readingOrder="2"/>
    </xf>
    <xf numFmtId="0" fontId="72" fillId="34" borderId="4" xfId="0" applyFont="1" applyFill="1" applyBorder="1" applyAlignment="1">
      <alignment horizontal="center" vertical="center" wrapText="1" readingOrder="2"/>
    </xf>
    <xf numFmtId="0" fontId="72" fillId="34" borderId="1" xfId="0" applyFont="1" applyFill="1" applyBorder="1" applyAlignment="1">
      <alignment horizontal="center" vertical="center" wrapText="1" readingOrder="2"/>
    </xf>
    <xf numFmtId="0" fontId="72" fillId="34" borderId="5" xfId="0" applyFont="1" applyFill="1" applyBorder="1" applyAlignment="1">
      <alignment horizontal="center" vertical="center" wrapText="1" readingOrder="2"/>
    </xf>
    <xf numFmtId="0" fontId="30" fillId="0" borderId="2" xfId="0" applyFont="1" applyBorder="1" applyAlignment="1">
      <alignment horizontal="right" vertical="center" wrapText="1" readingOrder="2"/>
    </xf>
    <xf numFmtId="0" fontId="73" fillId="34" borderId="2" xfId="0" applyFont="1" applyFill="1" applyBorder="1" applyAlignment="1">
      <alignment horizontal="center" vertical="center" wrapText="1" readingOrder="2"/>
    </xf>
    <xf numFmtId="0" fontId="74" fillId="34" borderId="2" xfId="0" applyFont="1" applyFill="1" applyBorder="1" applyAlignment="1">
      <alignment horizontal="center" vertical="center" wrapText="1" readingOrder="2"/>
    </xf>
    <xf numFmtId="0" fontId="75" fillId="0" borderId="2" xfId="0" applyFont="1" applyBorder="1" applyAlignment="1">
      <alignment horizontal="center" vertical="center" wrapText="1" readingOrder="2"/>
    </xf>
    <xf numFmtId="0" fontId="71" fillId="0" borderId="0" xfId="0" applyFont="1" applyAlignment="1">
      <alignment horizontal="right" vertical="center" wrapText="1" readingOrder="2"/>
    </xf>
    <xf numFmtId="0" fontId="68" fillId="0" borderId="0" xfId="0" applyFont="1" applyAlignment="1">
      <alignment horizontal="center" vertical="center" wrapText="1"/>
    </xf>
    <xf numFmtId="0" fontId="53" fillId="0" borderId="0" xfId="0" applyFont="1" applyAlignment="1">
      <alignment horizontal="right" vertical="center" wrapText="1" readingOrder="2"/>
    </xf>
    <xf numFmtId="0" fontId="59" fillId="34" borderId="0" xfId="0" applyFont="1" applyFill="1" applyAlignment="1">
      <alignment horizontal="center" vertical="center" wrapText="1" readingOrder="2"/>
    </xf>
    <xf numFmtId="0" fontId="59" fillId="34" borderId="2" xfId="0" applyFont="1" applyFill="1" applyBorder="1" applyAlignment="1">
      <alignment horizontal="center" vertical="center" wrapText="1" readingOrder="2"/>
    </xf>
    <xf numFmtId="0" fontId="53" fillId="0" borderId="2" xfId="0" applyFont="1" applyBorder="1" applyAlignment="1">
      <alignment horizontal="right" vertical="center" wrapText="1" readingOrder="2"/>
    </xf>
    <xf numFmtId="0" fontId="58" fillId="0" borderId="0" xfId="0" applyFont="1" applyAlignment="1">
      <alignment horizontal="right" vertical="center" wrapText="1" readingOrder="2"/>
    </xf>
    <xf numFmtId="0" fontId="59" fillId="34" borderId="2" xfId="0" applyFont="1" applyFill="1" applyBorder="1" applyAlignment="1">
      <alignment horizontal="right" vertical="center" wrapText="1" readingOrder="2"/>
    </xf>
    <xf numFmtId="0" fontId="62" fillId="0" borderId="2" xfId="0" applyFont="1" applyBorder="1" applyAlignment="1">
      <alignment horizontal="right" vertical="center" wrapText="1" readingOrder="2"/>
    </xf>
    <xf numFmtId="0" fontId="53" fillId="0" borderId="4" xfId="0" applyFont="1" applyBorder="1" applyAlignment="1">
      <alignment horizontal="right" vertical="center" wrapText="1" readingOrder="2"/>
    </xf>
    <xf numFmtId="0" fontId="53" fillId="0" borderId="1" xfId="0" applyFont="1" applyBorder="1" applyAlignment="1">
      <alignment horizontal="right" vertical="center" wrapText="1" readingOrder="2"/>
    </xf>
    <xf numFmtId="0" fontId="53" fillId="0" borderId="5" xfId="0" applyFont="1" applyBorder="1" applyAlignment="1">
      <alignment horizontal="right" vertical="center" wrapText="1" readingOrder="2"/>
    </xf>
    <xf numFmtId="0" fontId="61" fillId="0" borderId="0" xfId="0" applyFont="1" applyAlignment="1">
      <alignment horizontal="right" vertical="center" wrapText="1" readingOrder="2"/>
    </xf>
    <xf numFmtId="0" fontId="53" fillId="0" borderId="0" xfId="0" applyFont="1" applyAlignment="1">
      <alignment horizontal="right" vertical="center" wrapText="1"/>
    </xf>
    <xf numFmtId="0" fontId="65" fillId="0" borderId="0" xfId="0" applyFont="1" applyAlignment="1">
      <alignment horizontal="right" vertical="center" wrapText="1" readingOrder="2"/>
    </xf>
    <xf numFmtId="0" fontId="66" fillId="0" borderId="0" xfId="0" applyFont="1" applyAlignment="1">
      <alignment horizontal="right" vertical="center" wrapText="1" readingOrder="2"/>
    </xf>
    <xf numFmtId="0" fontId="72" fillId="34" borderId="2" xfId="0" applyFont="1" applyFill="1" applyBorder="1" applyAlignment="1">
      <alignment horizontal="center" vertical="center" wrapText="1" readingOrder="2"/>
    </xf>
    <xf numFmtId="0" fontId="93" fillId="0" borderId="11" xfId="0" applyFont="1" applyBorder="1" applyAlignment="1">
      <alignment horizontal="right" vertical="center" wrapText="1"/>
    </xf>
    <xf numFmtId="0" fontId="93" fillId="0" borderId="0" xfId="0" applyFont="1" applyAlignment="1">
      <alignment horizontal="right" vertical="center" wrapText="1"/>
    </xf>
    <xf numFmtId="0" fontId="93" fillId="0" borderId="12" xfId="0" applyFont="1" applyBorder="1" applyAlignment="1">
      <alignment horizontal="right" vertical="center" wrapText="1"/>
    </xf>
    <xf numFmtId="0" fontId="93" fillId="0" borderId="11" xfId="0" applyFont="1" applyBorder="1" applyAlignment="1">
      <alignment horizontal="right" vertical="top" wrapText="1" readingOrder="2"/>
    </xf>
    <xf numFmtId="0" fontId="93" fillId="0" borderId="0" xfId="0" applyFont="1" applyBorder="1" applyAlignment="1">
      <alignment horizontal="right" vertical="top" wrapText="1" readingOrder="2"/>
    </xf>
    <xf numFmtId="0" fontId="93" fillId="0" borderId="12" xfId="0" applyFont="1" applyBorder="1" applyAlignment="1">
      <alignment horizontal="right" vertical="top" wrapText="1" readingOrder="2"/>
    </xf>
    <xf numFmtId="0" fontId="93" fillId="0" borderId="11" xfId="0" applyFont="1" applyBorder="1" applyAlignment="1">
      <alignment horizontal="right" vertical="center" wrapText="1" readingOrder="2"/>
    </xf>
    <xf numFmtId="0" fontId="93" fillId="0" borderId="12" xfId="0" applyFont="1" applyBorder="1" applyAlignment="1">
      <alignment horizontal="right" vertical="center" wrapText="1" readingOrder="2"/>
    </xf>
    <xf numFmtId="0" fontId="98" fillId="0" borderId="11" xfId="0" applyFont="1" applyBorder="1" applyAlignment="1">
      <alignment horizontal="center" vertical="center" wrapText="1" readingOrder="2"/>
    </xf>
    <xf numFmtId="0" fontId="93" fillId="0" borderId="12" xfId="0" applyFont="1" applyBorder="1" applyAlignment="1">
      <alignment horizontal="center" vertical="center" wrapText="1" readingOrder="2"/>
    </xf>
    <xf numFmtId="0" fontId="93" fillId="0" borderId="9" xfId="0" applyFont="1" applyBorder="1" applyAlignment="1">
      <alignment horizontal="center" vertical="center" wrapText="1" readingOrder="2"/>
    </xf>
    <xf numFmtId="0" fontId="93" fillId="0" borderId="8" xfId="0" applyFont="1" applyBorder="1" applyAlignment="1">
      <alignment horizontal="center" vertical="center" wrapText="1" readingOrder="2"/>
    </xf>
    <xf numFmtId="0" fontId="93" fillId="0" borderId="10" xfId="0" applyFont="1" applyBorder="1" applyAlignment="1">
      <alignment horizontal="center" vertical="center" wrapText="1" readingOrder="2"/>
    </xf>
    <xf numFmtId="0" fontId="64" fillId="0" borderId="2" xfId="0" applyFont="1" applyBorder="1" applyAlignment="1">
      <alignment horizontal="right" vertical="center" wrapText="1" readingOrder="2"/>
    </xf>
    <xf numFmtId="0" fontId="58" fillId="0" borderId="2" xfId="0" applyFont="1" applyBorder="1" applyAlignment="1">
      <alignment horizontal="right" vertical="center" wrapText="1" readingOrder="2"/>
    </xf>
    <xf numFmtId="0" fontId="53" fillId="0" borderId="0" xfId="0" applyFont="1" applyAlignment="1">
      <alignment horizontal="center" vertical="center" wrapText="1"/>
    </xf>
    <xf numFmtId="0" fontId="54" fillId="0" borderId="0" xfId="0" applyFont="1" applyAlignment="1">
      <alignment horizontal="center" vertical="center" wrapText="1" readingOrder="2"/>
    </xf>
    <xf numFmtId="0" fontId="58" fillId="0" borderId="1" xfId="0" applyFont="1" applyBorder="1" applyAlignment="1">
      <alignment horizontal="right" vertical="center" wrapText="1" readingOrder="2"/>
    </xf>
    <xf numFmtId="0" fontId="58" fillId="0" borderId="5" xfId="0" applyFont="1" applyBorder="1" applyAlignment="1">
      <alignment horizontal="right" vertical="center" wrapText="1" readingOrder="2"/>
    </xf>
    <xf numFmtId="0" fontId="100" fillId="0" borderId="0" xfId="0" applyFont="1" applyAlignment="1">
      <alignment horizontal="right" vertical="center" wrapText="1" readingOrder="2"/>
    </xf>
    <xf numFmtId="0" fontId="54" fillId="0" borderId="0" xfId="0" applyFont="1" applyAlignment="1">
      <alignment horizontal="right" vertical="center" wrapText="1" readingOrder="2"/>
    </xf>
    <xf numFmtId="0" fontId="99" fillId="0" borderId="0" xfId="0" applyFont="1" applyAlignment="1">
      <alignment horizontal="right" vertical="center" wrapText="1" readingOrder="2"/>
    </xf>
    <xf numFmtId="0" fontId="103" fillId="33" borderId="9" xfId="0" applyFont="1" applyFill="1" applyBorder="1" applyAlignment="1">
      <alignment horizontal="center"/>
    </xf>
    <xf numFmtId="0" fontId="103" fillId="33" borderId="8" xfId="0" applyFont="1" applyFill="1" applyBorder="1" applyAlignment="1">
      <alignment horizontal="center"/>
    </xf>
    <xf numFmtId="0" fontId="103" fillId="33" borderId="10" xfId="0" applyFont="1" applyFill="1" applyBorder="1" applyAlignment="1">
      <alignment horizontal="center"/>
    </xf>
    <xf numFmtId="0" fontId="92" fillId="0" borderId="2" xfId="0" applyFont="1" applyBorder="1" applyAlignment="1">
      <alignment horizontal="right" vertical="center" wrapText="1" readingOrder="2"/>
    </xf>
    <xf numFmtId="14" fontId="93" fillId="0" borderId="2" xfId="0" applyNumberFormat="1" applyFont="1" applyBorder="1" applyAlignment="1">
      <alignment horizontal="right" wrapText="1"/>
    </xf>
    <xf numFmtId="0" fontId="94" fillId="0" borderId="0" xfId="0" applyFont="1" applyAlignment="1">
      <alignment horizontal="right" vertical="center" wrapText="1" readingOrder="2"/>
    </xf>
    <xf numFmtId="0" fontId="95" fillId="0" borderId="0" xfId="0" applyFont="1" applyAlignment="1">
      <alignment horizontal="right" vertical="center" wrapText="1" readingOrder="2"/>
    </xf>
    <xf numFmtId="0" fontId="96" fillId="34" borderId="0" xfId="0" applyFont="1" applyFill="1" applyAlignment="1">
      <alignment horizontal="center" vertical="center" wrapText="1" readingOrder="2"/>
    </xf>
    <xf numFmtId="0" fontId="94" fillId="0" borderId="0" xfId="0" applyFont="1" applyAlignment="1">
      <alignment horizontal="right" wrapText="1" readingOrder="2"/>
    </xf>
    <xf numFmtId="0" fontId="108" fillId="0" borderId="0" xfId="0" applyFont="1" applyAlignment="1">
      <alignment horizontal="right" vertical="center" wrapText="1" readingOrder="2"/>
    </xf>
    <xf numFmtId="0" fontId="84" fillId="0" borderId="0" xfId="0" applyFont="1" applyAlignment="1">
      <alignment horizontal="center" vertical="center" wrapText="1" readingOrder="2"/>
    </xf>
    <xf numFmtId="0" fontId="122" fillId="0" borderId="0" xfId="0" applyFont="1" applyAlignment="1">
      <alignment horizontal="right" vertical="center" wrapText="1" readingOrder="2"/>
    </xf>
    <xf numFmtId="0" fontId="108" fillId="0" borderId="0" xfId="0" applyFont="1" applyAlignment="1">
      <alignment horizontal="center" vertical="center" wrapText="1" readingOrder="2"/>
    </xf>
    <xf numFmtId="0" fontId="123" fillId="0" borderId="0" xfId="0" applyFont="1" applyAlignment="1">
      <alignment horizontal="right" vertical="center" wrapText="1" readingOrder="2"/>
    </xf>
    <xf numFmtId="0" fontId="124" fillId="0" borderId="0" xfId="0" applyFont="1" applyAlignment="1">
      <alignment horizontal="right" vertical="center" wrapText="1" readingOrder="2"/>
    </xf>
    <xf numFmtId="0" fontId="150" fillId="0" borderId="0" xfId="0" applyFont="1" applyAlignment="1">
      <alignment horizontal="center" vertical="center" readingOrder="2"/>
    </xf>
    <xf numFmtId="0" fontId="148" fillId="0" borderId="0" xfId="0" applyFont="1" applyAlignment="1">
      <alignment horizontal="justify" vertical="justify" wrapText="1"/>
    </xf>
    <xf numFmtId="0" fontId="147" fillId="0" borderId="0" xfId="0" applyFont="1" applyAlignment="1">
      <alignment horizontal="right" vertical="center" readingOrder="2"/>
    </xf>
    <xf numFmtId="0" fontId="147" fillId="0" borderId="0" xfId="0" applyFont="1" applyAlignment="1">
      <alignment horizontal="center" vertical="center" readingOrder="2"/>
    </xf>
    <xf numFmtId="0" fontId="148" fillId="0" borderId="0" xfId="0" applyFont="1" applyAlignment="1">
      <alignment horizontal="right" vertical="center" readingOrder="2"/>
    </xf>
    <xf numFmtId="0" fontId="106" fillId="0" borderId="0" xfId="0" applyFont="1" applyAlignment="1">
      <alignment horizontal="right" vertical="center" readingOrder="2"/>
    </xf>
    <xf numFmtId="0" fontId="112" fillId="0" borderId="0" xfId="0" applyFont="1" applyAlignment="1">
      <alignment vertical="center"/>
    </xf>
    <xf numFmtId="0" fontId="111" fillId="0" borderId="0" xfId="0" applyFont="1" applyAlignment="1">
      <alignment horizontal="center" vertical="center" readingOrder="2"/>
    </xf>
    <xf numFmtId="0" fontId="119" fillId="0" borderId="0" xfId="0" applyFont="1" applyAlignment="1">
      <alignment horizontal="right" vertical="top" wrapText="1" readingOrder="2"/>
    </xf>
    <xf numFmtId="0" fontId="112" fillId="0" borderId="2" xfId="0" applyFont="1" applyBorder="1" applyAlignment="1">
      <alignment horizontal="right"/>
    </xf>
    <xf numFmtId="0" fontId="106" fillId="0" borderId="0" xfId="0" applyFont="1" applyAlignment="1">
      <alignment horizontal="center" vertical="center" readingOrder="2"/>
    </xf>
    <xf numFmtId="14" fontId="112" fillId="0" borderId="2" xfId="0" applyNumberFormat="1" applyFont="1" applyBorder="1" applyAlignment="1">
      <alignment horizontal="right"/>
    </xf>
    <xf numFmtId="0" fontId="119" fillId="0" borderId="0" xfId="0" applyFont="1" applyAlignment="1">
      <alignment horizontal="right" vertical="center" wrapText="1" readingOrder="2"/>
    </xf>
    <xf numFmtId="0" fontId="5" fillId="0" borderId="218" xfId="0" applyFont="1" applyBorder="1" applyAlignment="1" applyProtection="1">
      <alignment horizontal="left" vertical="center"/>
      <protection hidden="1"/>
    </xf>
    <xf numFmtId="0" fontId="5" fillId="0" borderId="219" xfId="0" applyFont="1" applyBorder="1" applyAlignment="1" applyProtection="1">
      <alignment horizontal="left" vertical="center"/>
      <protection hidden="1"/>
    </xf>
    <xf numFmtId="0" fontId="5" fillId="0" borderId="185" xfId="0" applyFont="1" applyBorder="1" applyAlignment="1" applyProtection="1">
      <alignment horizontal="center" vertical="center"/>
      <protection locked="0"/>
    </xf>
    <xf numFmtId="0" fontId="5" fillId="0" borderId="180" xfId="0" applyFont="1" applyBorder="1" applyAlignment="1" applyProtection="1">
      <alignment horizontal="center" vertical="center"/>
      <protection locked="0"/>
    </xf>
    <xf numFmtId="0" fontId="5" fillId="0" borderId="204" xfId="0" applyFont="1" applyBorder="1" applyAlignment="1" applyProtection="1">
      <alignment horizontal="center" vertical="center"/>
      <protection locked="0"/>
    </xf>
    <xf numFmtId="0" fontId="5" fillId="0" borderId="186" xfId="0" applyFont="1" applyBorder="1" applyAlignment="1" applyProtection="1">
      <alignment horizontal="center" vertical="center"/>
      <protection locked="0"/>
    </xf>
    <xf numFmtId="0" fontId="5" fillId="0" borderId="177" xfId="0" applyFont="1" applyBorder="1" applyAlignment="1" applyProtection="1">
      <alignment horizontal="center" vertical="center"/>
      <protection locked="0"/>
    </xf>
    <xf numFmtId="0" fontId="5" fillId="0" borderId="205" xfId="0" applyFont="1" applyBorder="1" applyAlignment="1" applyProtection="1">
      <alignment horizontal="center" vertical="center"/>
      <protection locked="0"/>
    </xf>
    <xf numFmtId="0" fontId="4" fillId="0" borderId="189" xfId="0" applyFont="1" applyBorder="1" applyAlignment="1" applyProtection="1">
      <alignment horizontal="center" vertical="center"/>
      <protection hidden="1"/>
    </xf>
    <xf numFmtId="0" fontId="4" fillId="0" borderId="74" xfId="0" applyFont="1" applyBorder="1" applyAlignment="1" applyProtection="1">
      <alignment horizontal="center" vertical="center"/>
      <protection hidden="1"/>
    </xf>
    <xf numFmtId="0" fontId="4" fillId="0" borderId="162" xfId="0" applyFont="1" applyBorder="1" applyAlignment="1" applyProtection="1">
      <alignment horizontal="center" vertical="center"/>
      <protection hidden="1"/>
    </xf>
    <xf numFmtId="0" fontId="5" fillId="0" borderId="0" xfId="0" applyFont="1" applyAlignment="1" applyProtection="1">
      <alignment horizontal="center" vertical="center"/>
      <protection hidden="1"/>
    </xf>
    <xf numFmtId="0" fontId="5" fillId="0" borderId="216" xfId="0" applyFont="1" applyBorder="1" applyAlignment="1" applyProtection="1">
      <alignment horizontal="left" vertical="center"/>
      <protection hidden="1"/>
    </xf>
    <xf numFmtId="0" fontId="5" fillId="0" borderId="217" xfId="0" applyFont="1" applyBorder="1" applyAlignment="1" applyProtection="1">
      <alignment horizontal="left" vertical="center"/>
      <protection hidden="1"/>
    </xf>
    <xf numFmtId="0" fontId="5" fillId="0" borderId="176" xfId="0" applyFont="1" applyBorder="1" applyAlignment="1" applyProtection="1">
      <alignment horizontal="left" vertical="center"/>
      <protection locked="0"/>
    </xf>
    <xf numFmtId="0" fontId="5" fillId="0" borderId="187" xfId="0" applyFont="1" applyBorder="1" applyAlignment="1" applyProtection="1">
      <alignment horizontal="left" vertical="center"/>
      <protection locked="0"/>
    </xf>
    <xf numFmtId="14" fontId="5" fillId="0" borderId="182" xfId="0" applyNumberFormat="1" applyFont="1" applyBorder="1" applyAlignment="1" applyProtection="1">
      <alignment horizontal="left" vertical="center"/>
      <protection locked="0"/>
    </xf>
    <xf numFmtId="14" fontId="5" fillId="0" borderId="188" xfId="0" applyNumberFormat="1" applyFont="1" applyBorder="1" applyAlignment="1" applyProtection="1">
      <alignment horizontal="left" vertical="center"/>
      <protection locked="0"/>
    </xf>
    <xf numFmtId="0" fontId="4" fillId="0" borderId="172" xfId="0" applyFont="1" applyBorder="1" applyAlignment="1" applyProtection="1">
      <alignment horizontal="center" vertical="center"/>
      <protection hidden="1"/>
    </xf>
    <xf numFmtId="0" fontId="4" fillId="0" borderId="173" xfId="0" applyFont="1" applyBorder="1" applyAlignment="1" applyProtection="1">
      <alignment horizontal="center" vertical="center"/>
      <protection hidden="1"/>
    </xf>
    <xf numFmtId="0" fontId="4" fillId="0" borderId="174" xfId="0" applyFont="1" applyBorder="1" applyAlignment="1" applyProtection="1">
      <alignment horizontal="center" vertical="center"/>
      <protection hidden="1"/>
    </xf>
    <xf numFmtId="0" fontId="5" fillId="0" borderId="155" xfId="0" applyFont="1" applyBorder="1" applyAlignment="1" applyProtection="1">
      <alignment horizontal="center" vertical="center"/>
      <protection hidden="1"/>
    </xf>
    <xf numFmtId="0" fontId="5" fillId="0" borderId="172" xfId="0" applyFont="1" applyBorder="1" applyAlignment="1" applyProtection="1">
      <alignment horizontal="center" vertical="center"/>
      <protection locked="0"/>
    </xf>
    <xf numFmtId="0" fontId="5" fillId="0" borderId="173" xfId="0" applyFont="1" applyBorder="1" applyAlignment="1" applyProtection="1">
      <alignment horizontal="center" vertical="center"/>
      <protection locked="0"/>
    </xf>
    <xf numFmtId="0" fontId="5" fillId="0" borderId="174" xfId="0" applyFont="1" applyBorder="1" applyAlignment="1" applyProtection="1">
      <alignment horizontal="center" vertical="center"/>
      <protection locked="0"/>
    </xf>
    <xf numFmtId="0" fontId="5" fillId="0" borderId="184" xfId="0" applyFont="1" applyBorder="1" applyAlignment="1" applyProtection="1">
      <alignment horizontal="center" vertical="center"/>
      <protection locked="0"/>
    </xf>
    <xf numFmtId="0" fontId="5" fillId="0" borderId="179" xfId="0" applyFont="1" applyBorder="1" applyAlignment="1" applyProtection="1">
      <alignment horizontal="center" vertical="center"/>
      <protection locked="0"/>
    </xf>
    <xf numFmtId="0" fontId="5" fillId="0" borderId="203" xfId="0" applyFont="1" applyBorder="1" applyAlignment="1" applyProtection="1">
      <alignment horizontal="center" vertical="center"/>
      <protection locked="0"/>
    </xf>
    <xf numFmtId="0" fontId="5" fillId="0" borderId="214" xfId="0" applyFont="1" applyBorder="1" applyAlignment="1" applyProtection="1">
      <alignment horizontal="left" vertical="center"/>
      <protection hidden="1"/>
    </xf>
    <xf numFmtId="0" fontId="5" fillId="0" borderId="215" xfId="0" applyFont="1" applyBorder="1" applyAlignment="1" applyProtection="1">
      <alignment horizontal="left" vertical="center"/>
      <protection hidden="1"/>
    </xf>
    <xf numFmtId="0" fontId="127" fillId="0" borderId="221" xfId="0" applyFont="1" applyBorder="1" applyAlignment="1" applyProtection="1">
      <alignment horizontal="center" vertical="center" readingOrder="1"/>
      <protection locked="0"/>
    </xf>
    <xf numFmtId="0" fontId="127" fillId="0" borderId="220" xfId="0" applyFont="1" applyBorder="1" applyAlignment="1" applyProtection="1">
      <alignment horizontal="center" vertical="center" readingOrder="1"/>
      <protection locked="0"/>
    </xf>
    <xf numFmtId="0" fontId="127" fillId="0" borderId="178" xfId="0" applyFont="1" applyBorder="1" applyAlignment="1" applyProtection="1">
      <alignment horizontal="center" vertical="center" readingOrder="1"/>
      <protection locked="0"/>
    </xf>
    <xf numFmtId="0" fontId="23" fillId="0" borderId="142" xfId="0" applyFont="1" applyBorder="1" applyAlignment="1">
      <alignment horizontal="center" vertical="top" wrapText="1" readingOrder="2"/>
    </xf>
    <xf numFmtId="0" fontId="23" fillId="0" borderId="96" xfId="0" applyFont="1" applyBorder="1" applyAlignment="1">
      <alignment horizontal="center" vertical="top" wrapText="1" readingOrder="2"/>
    </xf>
    <xf numFmtId="0" fontId="23" fillId="0" borderId="143" xfId="0" applyFont="1" applyBorder="1" applyAlignment="1">
      <alignment horizontal="center" vertical="top" wrapText="1" readingOrder="2"/>
    </xf>
    <xf numFmtId="0" fontId="23" fillId="0" borderId="157" xfId="0" applyFont="1" applyBorder="1" applyAlignment="1">
      <alignment horizontal="center" vertical="top" wrapText="1" readingOrder="2"/>
    </xf>
    <xf numFmtId="0" fontId="23" fillId="0" borderId="138" xfId="0" applyFont="1" applyBorder="1" applyAlignment="1">
      <alignment horizontal="center" vertical="top" wrapText="1" readingOrder="2"/>
    </xf>
    <xf numFmtId="0" fontId="23" fillId="0" borderId="158" xfId="0" applyFont="1" applyBorder="1" applyAlignment="1">
      <alignment horizontal="center" vertical="top" wrapText="1" readingOrder="2"/>
    </xf>
    <xf numFmtId="0" fontId="8" fillId="8" borderId="47" xfId="0" applyFont="1" applyFill="1" applyBorder="1" applyAlignment="1">
      <alignment horizontal="left" vertical="center"/>
    </xf>
    <xf numFmtId="0" fontId="8" fillId="8" borderId="48" xfId="0" applyFont="1" applyFill="1" applyBorder="1" applyAlignment="1">
      <alignment horizontal="left" vertical="center"/>
    </xf>
    <xf numFmtId="0" fontId="8" fillId="8" borderId="54" xfId="0" applyFont="1" applyFill="1" applyBorder="1" applyAlignment="1">
      <alignment horizontal="left" vertical="center"/>
    </xf>
    <xf numFmtId="0" fontId="8" fillId="8" borderId="55" xfId="0" applyFont="1" applyFill="1" applyBorder="1" applyAlignment="1">
      <alignment horizontal="left" vertical="center"/>
    </xf>
    <xf numFmtId="0" fontId="8" fillId="8" borderId="9" xfId="0" applyFont="1" applyFill="1" applyBorder="1" applyAlignment="1">
      <alignment horizontal="left" vertical="center" wrapText="1"/>
    </xf>
    <xf numFmtId="0" fontId="8" fillId="8" borderId="8" xfId="0" applyFont="1" applyFill="1" applyBorder="1" applyAlignment="1">
      <alignment horizontal="left" vertical="center" wrapText="1"/>
    </xf>
    <xf numFmtId="0" fontId="8" fillId="8" borderId="10" xfId="0" applyFont="1" applyFill="1" applyBorder="1" applyAlignment="1">
      <alignment horizontal="left" vertical="center" wrapText="1"/>
    </xf>
    <xf numFmtId="0" fontId="8" fillId="8" borderId="11" xfId="0" applyFont="1" applyFill="1" applyBorder="1" applyAlignment="1">
      <alignment horizontal="left" vertical="center" wrapText="1"/>
    </xf>
    <xf numFmtId="0" fontId="8" fillId="8" borderId="0" xfId="0" applyFont="1" applyFill="1" applyAlignment="1">
      <alignment horizontal="left" vertical="center" wrapText="1"/>
    </xf>
    <xf numFmtId="0" fontId="8" fillId="8" borderId="12" xfId="0" applyFont="1" applyFill="1" applyBorder="1" applyAlignment="1">
      <alignment horizontal="left" vertical="center" wrapText="1"/>
    </xf>
    <xf numFmtId="0" fontId="8" fillId="8" borderId="6" xfId="0" applyFont="1" applyFill="1" applyBorder="1" applyAlignment="1">
      <alignment horizontal="left" vertical="center" wrapText="1"/>
    </xf>
    <xf numFmtId="0" fontId="8" fillId="8" borderId="3" xfId="0" applyFont="1" applyFill="1" applyBorder="1" applyAlignment="1">
      <alignment horizontal="left" vertical="center" wrapText="1"/>
    </xf>
    <xf numFmtId="0" fontId="8" fillId="8" borderId="7" xfId="0" applyFont="1" applyFill="1" applyBorder="1" applyAlignment="1">
      <alignment horizontal="left" vertical="center" wrapText="1"/>
    </xf>
    <xf numFmtId="0" fontId="2" fillId="2" borderId="4" xfId="0" applyFont="1" applyFill="1" applyBorder="1" applyAlignment="1">
      <alignment horizontal="center"/>
    </xf>
    <xf numFmtId="0" fontId="2" fillId="2" borderId="5" xfId="0" applyFont="1" applyFill="1" applyBorder="1" applyAlignment="1">
      <alignment horizontal="center"/>
    </xf>
    <xf numFmtId="0" fontId="12" fillId="4" borderId="4" xfId="0" applyFont="1" applyFill="1" applyBorder="1" applyAlignment="1">
      <alignment horizontal="left" vertical="center"/>
    </xf>
    <xf numFmtId="0" fontId="12" fillId="4" borderId="1" xfId="0" applyFont="1" applyFill="1" applyBorder="1" applyAlignment="1">
      <alignment horizontal="left" vertical="center"/>
    </xf>
    <xf numFmtId="0" fontId="8" fillId="8" borderId="42" xfId="0" applyFont="1" applyFill="1" applyBorder="1" applyAlignment="1">
      <alignment horizontal="left" vertical="center"/>
    </xf>
    <xf numFmtId="0" fontId="8" fillId="8" borderId="43" xfId="0" applyFont="1" applyFill="1" applyBorder="1" applyAlignment="1">
      <alignment horizontal="left" vertical="center"/>
    </xf>
    <xf numFmtId="0" fontId="2" fillId="2" borderId="13" xfId="0" applyFont="1" applyFill="1" applyBorder="1" applyAlignment="1">
      <alignment horizontal="center" vertical="center"/>
    </xf>
    <xf numFmtId="0" fontId="2" fillId="2" borderId="1" xfId="0" applyFont="1" applyFill="1" applyBorder="1" applyAlignment="1">
      <alignment horizontal="center" vertical="center"/>
    </xf>
    <xf numFmtId="0" fontId="8" fillId="0" borderId="9" xfId="0" applyFont="1" applyBorder="1" applyAlignment="1">
      <alignment horizontal="left" vertical="center" wrapText="1"/>
    </xf>
    <xf numFmtId="0" fontId="8" fillId="0" borderId="8" xfId="0" applyFont="1" applyBorder="1" applyAlignment="1">
      <alignment horizontal="left" vertical="center" wrapText="1"/>
    </xf>
    <xf numFmtId="0" fontId="8" fillId="0" borderId="10" xfId="0" applyFont="1" applyBorder="1" applyAlignment="1">
      <alignment horizontal="left" vertical="center" wrapText="1"/>
    </xf>
    <xf numFmtId="0" fontId="8" fillId="0" borderId="6" xfId="0" applyFont="1" applyBorder="1" applyAlignment="1">
      <alignment horizontal="left" vertical="center" wrapText="1"/>
    </xf>
    <xf numFmtId="0" fontId="8" fillId="0" borderId="3" xfId="0" applyFont="1" applyBorder="1" applyAlignment="1">
      <alignment horizontal="left" vertical="center" wrapText="1"/>
    </xf>
    <xf numFmtId="0" fontId="8" fillId="0" borderId="7" xfId="0" applyFont="1" applyBorder="1" applyAlignment="1">
      <alignment horizontal="left" vertical="center" wrapText="1"/>
    </xf>
    <xf numFmtId="0" fontId="2" fillId="2" borderId="14"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15" xfId="0" applyFont="1" applyFill="1" applyBorder="1" applyAlignment="1">
      <alignment horizontal="center" vertical="center" wrapText="1"/>
    </xf>
    <xf numFmtId="0" fontId="2" fillId="2" borderId="4" xfId="0" applyFont="1" applyFill="1" applyBorder="1" applyAlignment="1">
      <alignment horizontal="right" vertical="center"/>
    </xf>
    <xf numFmtId="0" fontId="2" fillId="2" borderId="1" xfId="0" applyFont="1" applyFill="1" applyBorder="1" applyAlignment="1">
      <alignment horizontal="right" vertical="center"/>
    </xf>
    <xf numFmtId="0" fontId="8" fillId="0" borderId="14" xfId="0" applyFont="1" applyBorder="1" applyAlignment="1">
      <alignment horizontal="center" vertical="center"/>
    </xf>
    <xf numFmtId="0" fontId="8" fillId="0" borderId="13" xfId="0" applyFont="1" applyBorder="1" applyAlignment="1">
      <alignment horizontal="center" vertical="center"/>
    </xf>
    <xf numFmtId="0" fontId="8" fillId="0" borderId="15" xfId="0" applyFont="1" applyBorder="1" applyAlignment="1">
      <alignment horizontal="center" vertical="center"/>
    </xf>
    <xf numFmtId="0" fontId="6" fillId="15" borderId="4" xfId="0" applyFont="1" applyFill="1" applyBorder="1" applyAlignment="1">
      <alignment horizontal="center" vertical="center" wrapText="1"/>
    </xf>
    <xf numFmtId="0" fontId="6" fillId="15" borderId="1" xfId="0" applyFont="1" applyFill="1" applyBorder="1" applyAlignment="1">
      <alignment horizontal="center" vertical="center" wrapText="1"/>
    </xf>
    <xf numFmtId="0" fontId="6" fillId="15" borderId="5" xfId="0" applyFont="1" applyFill="1" applyBorder="1" applyAlignment="1">
      <alignment horizontal="center" vertical="center" wrapText="1"/>
    </xf>
    <xf numFmtId="0" fontId="151" fillId="0" borderId="139" xfId="0" applyFont="1" applyFill="1" applyBorder="1" applyAlignment="1">
      <alignment horizontal="center" vertical="center"/>
    </xf>
    <xf numFmtId="0" fontId="151" fillId="0" borderId="140" xfId="0" applyFont="1" applyFill="1" applyBorder="1" applyAlignment="1">
      <alignment horizontal="center" vertical="center"/>
    </xf>
    <xf numFmtId="0" fontId="152" fillId="0" borderId="249" xfId="0" applyFont="1" applyBorder="1" applyAlignment="1">
      <alignment horizontal="center" vertical="center"/>
    </xf>
    <xf numFmtId="0" fontId="153" fillId="0" borderId="0" xfId="0" applyFont="1" applyAlignment="1">
      <alignment horizontal="center"/>
    </xf>
    <xf numFmtId="0" fontId="154" fillId="0" borderId="0" xfId="0" applyFont="1" applyAlignment="1">
      <alignment horizontal="center"/>
    </xf>
    <xf numFmtId="0" fontId="154" fillId="0" borderId="0" xfId="0" applyFont="1"/>
    <xf numFmtId="0" fontId="151" fillId="0" borderId="139" xfId="0" applyNumberFormat="1" applyFont="1" applyFill="1" applyBorder="1" applyAlignment="1">
      <alignment horizontal="center" vertical="center"/>
    </xf>
    <xf numFmtId="0" fontId="151" fillId="0" borderId="140" xfId="0" applyNumberFormat="1" applyFont="1" applyFill="1" applyBorder="1" applyAlignment="1">
      <alignment horizontal="center" vertical="center"/>
    </xf>
    <xf numFmtId="14" fontId="151" fillId="0" borderId="261" xfId="0" applyNumberFormat="1" applyFont="1" applyFill="1" applyBorder="1" applyAlignment="1">
      <alignment horizontal="center" vertical="center"/>
    </xf>
    <xf numFmtId="14" fontId="151" fillId="0" borderId="140" xfId="0" applyNumberFormat="1" applyFont="1" applyFill="1" applyBorder="1" applyAlignment="1">
      <alignment horizontal="center" vertical="center"/>
    </xf>
    <xf numFmtId="14" fontId="151" fillId="0" borderId="30" xfId="0" applyNumberFormat="1" applyFont="1" applyFill="1" applyBorder="1" applyAlignment="1">
      <alignment horizontal="center" vertical="center"/>
    </xf>
    <xf numFmtId="22" fontId="151" fillId="0" borderId="262" xfId="0" applyNumberFormat="1" applyFont="1" applyFill="1" applyBorder="1" applyAlignment="1">
      <alignment horizontal="center" vertical="center"/>
    </xf>
    <xf numFmtId="22" fontId="151" fillId="0" borderId="140" xfId="0" applyNumberFormat="1" applyFont="1" applyFill="1" applyBorder="1" applyAlignment="1">
      <alignment horizontal="center" vertical="center"/>
    </xf>
    <xf numFmtId="22" fontId="151" fillId="0" borderId="141" xfId="0" applyNumberFormat="1" applyFont="1" applyFill="1" applyBorder="1" applyAlignment="1">
      <alignment horizontal="center" vertical="center"/>
    </xf>
    <xf numFmtId="0" fontId="154" fillId="0" borderId="0" xfId="0" applyFont="1" applyFill="1" applyBorder="1"/>
    <xf numFmtId="0" fontId="155" fillId="0" borderId="0" xfId="0" applyFont="1" applyFill="1" applyBorder="1"/>
    <xf numFmtId="0" fontId="154" fillId="0" borderId="0" xfId="0" applyFont="1" applyFill="1"/>
    <xf numFmtId="0" fontId="156" fillId="3" borderId="263" xfId="0" applyFont="1" applyFill="1" applyBorder="1" applyAlignment="1">
      <alignment horizontal="center" vertical="top" wrapText="1"/>
    </xf>
    <xf numFmtId="0" fontId="157" fillId="2" borderId="263" xfId="0" applyFont="1" applyFill="1" applyBorder="1" applyAlignment="1">
      <alignment vertical="center" readingOrder="2"/>
    </xf>
    <xf numFmtId="0" fontId="153" fillId="2" borderId="0" xfId="0" applyFont="1" applyFill="1" applyBorder="1" applyAlignment="1">
      <alignment horizontal="center" vertical="center"/>
    </xf>
    <xf numFmtId="0" fontId="5" fillId="2" borderId="0" xfId="0" applyFont="1" applyFill="1" applyBorder="1" applyAlignment="1">
      <alignment vertical="center"/>
    </xf>
    <xf numFmtId="0" fontId="5" fillId="2" borderId="25" xfId="0" applyFont="1" applyFill="1" applyBorder="1" applyAlignment="1">
      <alignment vertical="center"/>
    </xf>
    <xf numFmtId="0" fontId="154" fillId="0" borderId="0" xfId="0" applyFont="1" applyBorder="1"/>
    <xf numFmtId="16" fontId="154" fillId="0" borderId="0" xfId="0" applyNumberFormat="1" applyFont="1" applyFill="1"/>
    <xf numFmtId="0" fontId="153" fillId="0" borderId="263" xfId="0" applyFont="1" applyFill="1" applyBorder="1"/>
    <xf numFmtId="9" fontId="157" fillId="8" borderId="0" xfId="0" applyNumberFormat="1" applyFont="1" applyFill="1" applyBorder="1" applyAlignment="1">
      <alignment horizontal="center" vertical="center"/>
    </xf>
    <xf numFmtId="0" fontId="5" fillId="8" borderId="0" xfId="0" applyFont="1" applyFill="1" applyBorder="1" applyAlignment="1">
      <alignment vertical="center"/>
    </xf>
    <xf numFmtId="0" fontId="5" fillId="8" borderId="25" xfId="0" applyFont="1" applyFill="1" applyBorder="1" applyAlignment="1">
      <alignment vertical="center"/>
    </xf>
    <xf numFmtId="0" fontId="154" fillId="0" borderId="0" xfId="0" applyFont="1" applyFill="1" applyAlignment="1">
      <alignment horizontal="center"/>
    </xf>
    <xf numFmtId="0" fontId="157" fillId="2" borderId="0" xfId="0" applyFont="1" applyFill="1" applyBorder="1" applyAlignment="1">
      <alignment horizontal="center" vertical="center" readingOrder="2"/>
    </xf>
    <xf numFmtId="0" fontId="157" fillId="8" borderId="263" xfId="0" applyFont="1" applyFill="1" applyBorder="1" applyAlignment="1">
      <alignment vertical="center" readingOrder="2"/>
    </xf>
    <xf numFmtId="0" fontId="157" fillId="2" borderId="263" xfId="0" applyFont="1" applyFill="1" applyBorder="1" applyAlignment="1">
      <alignment vertical="center"/>
    </xf>
    <xf numFmtId="0" fontId="153" fillId="2" borderId="25" xfId="0" applyFont="1" applyFill="1" applyBorder="1" applyAlignment="1">
      <alignment horizontal="center" vertical="center"/>
    </xf>
    <xf numFmtId="0" fontId="157" fillId="8" borderId="263" xfId="0" applyFont="1" applyFill="1" applyBorder="1" applyAlignment="1">
      <alignment vertical="center"/>
    </xf>
    <xf numFmtId="0" fontId="154" fillId="0" borderId="0" xfId="0" applyFont="1" applyFill="1" applyBorder="1" applyAlignment="1">
      <alignment horizontal="center"/>
    </xf>
    <xf numFmtId="9" fontId="157" fillId="2" borderId="0" xfId="0" applyNumberFormat="1" applyFont="1" applyFill="1" applyBorder="1" applyAlignment="1">
      <alignment horizontal="center" vertical="center"/>
    </xf>
    <xf numFmtId="9" fontId="157" fillId="8" borderId="263" xfId="0" applyNumberFormat="1" applyFont="1" applyFill="1" applyBorder="1" applyAlignment="1">
      <alignment vertical="center"/>
    </xf>
    <xf numFmtId="0" fontId="157" fillId="2" borderId="0" xfId="0" applyFont="1" applyFill="1" applyBorder="1" applyAlignment="1">
      <alignment horizontal="center" vertical="center"/>
    </xf>
    <xf numFmtId="0" fontId="157" fillId="8" borderId="22" xfId="0" applyFont="1" applyFill="1" applyBorder="1" applyAlignment="1">
      <alignment horizontal="center" vertical="center"/>
    </xf>
    <xf numFmtId="0" fontId="157" fillId="8" borderId="0" xfId="0" applyFont="1" applyFill="1" applyBorder="1" applyAlignment="1">
      <alignment horizontal="center" vertical="center"/>
    </xf>
    <xf numFmtId="0" fontId="157" fillId="8" borderId="25" xfId="0" applyFont="1" applyFill="1" applyBorder="1" applyAlignment="1">
      <alignment horizontal="center" vertical="center"/>
    </xf>
    <xf numFmtId="9" fontId="157" fillId="2" borderId="263" xfId="0" applyNumberFormat="1" applyFont="1" applyFill="1" applyBorder="1" applyAlignment="1">
      <alignment vertical="center"/>
    </xf>
    <xf numFmtId="0" fontId="156" fillId="3" borderId="253" xfId="0" applyFont="1" applyFill="1" applyBorder="1" applyAlignment="1">
      <alignment horizontal="center" vertical="top" wrapText="1"/>
    </xf>
    <xf numFmtId="9" fontId="157" fillId="8" borderId="0" xfId="0" applyNumberFormat="1" applyFont="1" applyFill="1" applyBorder="1" applyAlignment="1">
      <alignment horizontal="center" vertical="center" readingOrder="2"/>
    </xf>
    <xf numFmtId="9" fontId="157" fillId="8" borderId="25" xfId="0" applyNumberFormat="1" applyFont="1" applyFill="1" applyBorder="1" applyAlignment="1">
      <alignment horizontal="center" vertical="center" readingOrder="2"/>
    </xf>
    <xf numFmtId="0" fontId="158" fillId="0" borderId="264" xfId="0" applyFont="1" applyBorder="1" applyAlignment="1">
      <alignment horizontal="center"/>
    </xf>
    <xf numFmtId="0" fontId="157" fillId="0" borderId="253" xfId="0" applyFont="1" applyFill="1" applyBorder="1" applyAlignment="1">
      <alignment vertical="center" readingOrder="2"/>
    </xf>
    <xf numFmtId="0" fontId="157" fillId="0" borderId="264" xfId="0" applyFont="1" applyFill="1" applyBorder="1" applyAlignment="1">
      <alignment horizontal="center" vertical="center" readingOrder="2"/>
    </xf>
    <xf numFmtId="0" fontId="157" fillId="0" borderId="265" xfId="0" applyFont="1" applyFill="1" applyBorder="1" applyAlignment="1">
      <alignment horizontal="center" vertical="center" readingOrder="2"/>
    </xf>
    <xf numFmtId="0" fontId="157" fillId="0" borderId="30" xfId="0" applyFont="1" applyFill="1" applyBorder="1" applyAlignment="1">
      <alignment horizontal="center" vertical="center" readingOrder="2"/>
    </xf>
    <xf numFmtId="0" fontId="156" fillId="3" borderId="256" xfId="0" applyFont="1" applyFill="1" applyBorder="1" applyAlignment="1">
      <alignment horizontal="center" vertical="center" wrapText="1"/>
    </xf>
    <xf numFmtId="0" fontId="156" fillId="8" borderId="266" xfId="0" applyFont="1" applyFill="1" applyBorder="1" applyAlignment="1">
      <alignment horizontal="center" vertical="center"/>
    </xf>
    <xf numFmtId="0" fontId="156" fillId="8" borderId="255" xfId="0" applyFont="1" applyFill="1" applyBorder="1" applyAlignment="1">
      <alignment horizontal="center" vertical="center"/>
    </xf>
    <xf numFmtId="0" fontId="156" fillId="8" borderId="267" xfId="0" applyFont="1" applyFill="1" applyBorder="1" applyAlignment="1">
      <alignment horizontal="center" vertical="center"/>
    </xf>
    <xf numFmtId="0" fontId="156" fillId="8" borderId="268" xfId="0" applyFont="1" applyFill="1" applyBorder="1" applyAlignment="1">
      <alignment horizontal="center" vertical="center"/>
    </xf>
    <xf numFmtId="0" fontId="156" fillId="3" borderId="263" xfId="0" applyFont="1" applyFill="1" applyBorder="1" applyAlignment="1">
      <alignment horizontal="center" vertical="center" wrapText="1"/>
    </xf>
    <xf numFmtId="0" fontId="157" fillId="0" borderId="263" xfId="0" applyFont="1" applyFill="1" applyBorder="1" applyAlignment="1">
      <alignment horizontal="left" vertical="center"/>
    </xf>
    <xf numFmtId="186" fontId="157" fillId="0" borderId="22" xfId="2" applyNumberFormat="1" applyFont="1" applyFill="1" applyBorder="1" applyAlignment="1">
      <alignment horizontal="left" vertical="center" readingOrder="2"/>
    </xf>
    <xf numFmtId="186" fontId="157" fillId="0" borderId="2" xfId="2" applyNumberFormat="1" applyFont="1" applyFill="1" applyBorder="1" applyAlignment="1">
      <alignment horizontal="left" vertical="center" readingOrder="2"/>
    </xf>
    <xf numFmtId="186" fontId="157" fillId="0" borderId="25" xfId="2" applyNumberFormat="1" applyFont="1" applyFill="1" applyBorder="1" applyAlignment="1">
      <alignment horizontal="left" vertical="center" readingOrder="2"/>
    </xf>
    <xf numFmtId="0" fontId="157" fillId="2" borderId="263" xfId="0" applyFont="1" applyFill="1" applyBorder="1" applyAlignment="1">
      <alignment horizontal="left" vertical="center"/>
    </xf>
    <xf numFmtId="186" fontId="157" fillId="2" borderId="22" xfId="2" applyNumberFormat="1" applyFont="1" applyFill="1" applyBorder="1" applyAlignment="1">
      <alignment horizontal="left" vertical="center" readingOrder="2"/>
    </xf>
    <xf numFmtId="186" fontId="157" fillId="2" borderId="2" xfId="2" applyNumberFormat="1" applyFont="1" applyFill="1" applyBorder="1" applyAlignment="1">
      <alignment horizontal="left" vertical="center" readingOrder="2"/>
    </xf>
    <xf numFmtId="186" fontId="157" fillId="2" borderId="25" xfId="2" applyNumberFormat="1" applyFont="1" applyFill="1" applyBorder="1" applyAlignment="1">
      <alignment horizontal="left" vertical="center" readingOrder="2"/>
    </xf>
    <xf numFmtId="0" fontId="157" fillId="0" borderId="263" xfId="0" applyFont="1" applyFill="1" applyBorder="1" applyAlignment="1">
      <alignment horizontal="center" vertical="center"/>
    </xf>
    <xf numFmtId="186" fontId="159" fillId="0" borderId="22" xfId="2" applyNumberFormat="1" applyFont="1" applyFill="1" applyBorder="1" applyAlignment="1">
      <alignment horizontal="left" vertical="center" readingOrder="2"/>
    </xf>
    <xf numFmtId="186" fontId="159" fillId="0" borderId="2" xfId="2" applyNumberFormat="1" applyFont="1" applyFill="1" applyBorder="1" applyAlignment="1">
      <alignment horizontal="left" vertical="center" readingOrder="2"/>
    </xf>
    <xf numFmtId="0" fontId="157" fillId="8" borderId="263" xfId="0" applyFont="1" applyFill="1" applyBorder="1" applyAlignment="1">
      <alignment horizontal="center" vertical="center"/>
    </xf>
    <xf numFmtId="9" fontId="157" fillId="8" borderId="20" xfId="1" applyFont="1" applyFill="1" applyBorder="1" applyAlignment="1">
      <alignment horizontal="right" vertical="center" readingOrder="2"/>
    </xf>
    <xf numFmtId="9" fontId="157" fillId="8" borderId="269" xfId="1" applyFont="1" applyFill="1" applyBorder="1" applyAlignment="1">
      <alignment horizontal="right" vertical="center" readingOrder="2"/>
    </xf>
    <xf numFmtId="9" fontId="157" fillId="8" borderId="246" xfId="1" applyFont="1" applyFill="1" applyBorder="1" applyAlignment="1">
      <alignment horizontal="right" vertical="center" readingOrder="2"/>
    </xf>
    <xf numFmtId="0" fontId="158" fillId="0" borderId="253" xfId="0" applyFont="1" applyBorder="1" applyAlignment="1">
      <alignment horizontal="center"/>
    </xf>
    <xf numFmtId="0" fontId="157" fillId="0" borderId="253" xfId="0" applyFont="1" applyFill="1" applyBorder="1" applyAlignment="1">
      <alignment horizontal="center"/>
    </xf>
    <xf numFmtId="9" fontId="157" fillId="0" borderId="32" xfId="1" applyFont="1" applyFill="1" applyBorder="1" applyAlignment="1">
      <alignment horizontal="center" vertical="top" readingOrder="2"/>
    </xf>
    <xf numFmtId="9" fontId="157" fillId="0" borderId="27" xfId="1" applyFont="1" applyFill="1" applyBorder="1" applyAlignment="1">
      <alignment horizontal="center" vertical="top" readingOrder="2"/>
    </xf>
    <xf numFmtId="9" fontId="157" fillId="0" borderId="26" xfId="1" applyFont="1" applyFill="1" applyBorder="1" applyAlignment="1">
      <alignment horizontal="center" vertical="top" readingOrder="2"/>
    </xf>
    <xf numFmtId="0" fontId="157" fillId="8" borderId="270" xfId="0" applyFont="1" applyFill="1" applyBorder="1" applyAlignment="1">
      <alignment vertical="center" wrapText="1"/>
    </xf>
    <xf numFmtId="186" fontId="157" fillId="8" borderId="271" xfId="2" applyNumberFormat="1" applyFont="1" applyFill="1" applyBorder="1" applyAlignment="1">
      <alignment horizontal="center" vertical="center" readingOrder="2"/>
    </xf>
    <xf numFmtId="186" fontId="157" fillId="8" borderId="268" xfId="2" applyNumberFormat="1" applyFont="1" applyFill="1" applyBorder="1" applyAlignment="1">
      <alignment horizontal="center" vertical="center" readingOrder="2"/>
    </xf>
    <xf numFmtId="0" fontId="157" fillId="8" borderId="41" xfId="0" applyFont="1" applyFill="1" applyBorder="1" applyAlignment="1">
      <alignment horizontal="left" vertical="center"/>
    </xf>
    <xf numFmtId="9" fontId="157" fillId="8" borderId="0" xfId="0" applyNumberFormat="1" applyFont="1" applyFill="1" applyBorder="1" applyAlignment="1">
      <alignment horizontal="right" vertical="center"/>
    </xf>
    <xf numFmtId="9" fontId="157" fillId="8" borderId="25" xfId="0" applyNumberFormat="1" applyFont="1" applyFill="1" applyBorder="1" applyAlignment="1">
      <alignment horizontal="right" vertical="center"/>
    </xf>
    <xf numFmtId="0" fontId="157" fillId="2" borderId="25" xfId="0" applyFont="1" applyFill="1" applyBorder="1" applyAlignment="1">
      <alignment horizontal="left" vertical="center"/>
    </xf>
    <xf numFmtId="186" fontId="157" fillId="2" borderId="0" xfId="2" applyNumberFormat="1" applyFont="1" applyFill="1" applyBorder="1" applyAlignment="1">
      <alignment horizontal="right" vertical="center"/>
    </xf>
    <xf numFmtId="186" fontId="157" fillId="2" borderId="25" xfId="2" applyNumberFormat="1" applyFont="1" applyFill="1" applyBorder="1" applyAlignment="1">
      <alignment horizontal="right" vertical="center"/>
    </xf>
    <xf numFmtId="0" fontId="157" fillId="8" borderId="25" xfId="0" applyFont="1" applyFill="1" applyBorder="1" applyAlignment="1">
      <alignment horizontal="left" vertical="center"/>
    </xf>
    <xf numFmtId="186" fontId="157" fillId="8" borderId="0" xfId="2" applyNumberFormat="1" applyFont="1" applyFill="1" applyBorder="1" applyAlignment="1">
      <alignment horizontal="right" vertical="center"/>
    </xf>
    <xf numFmtId="186" fontId="157" fillId="8" borderId="25" xfId="2" applyNumberFormat="1" applyFont="1" applyFill="1" applyBorder="1" applyAlignment="1">
      <alignment horizontal="right" vertical="center"/>
    </xf>
    <xf numFmtId="0" fontId="156" fillId="3" borderId="253" xfId="0" applyFont="1" applyFill="1" applyBorder="1" applyAlignment="1">
      <alignment horizontal="center" vertical="center" wrapText="1"/>
    </xf>
    <xf numFmtId="0" fontId="157" fillId="2" borderId="30" xfId="0" applyFont="1" applyFill="1" applyBorder="1" applyAlignment="1">
      <alignment horizontal="left" vertical="center"/>
    </xf>
    <xf numFmtId="9" fontId="157" fillId="2" borderId="265" xfId="1" applyFont="1" applyFill="1" applyBorder="1" applyAlignment="1">
      <alignment horizontal="right" vertical="center"/>
    </xf>
    <xf numFmtId="9" fontId="157" fillId="2" borderId="30" xfId="1" applyFont="1" applyFill="1" applyBorder="1" applyAlignment="1">
      <alignment horizontal="right" vertical="center"/>
    </xf>
    <xf numFmtId="0" fontId="156" fillId="3" borderId="262" xfId="0" applyFont="1" applyFill="1" applyBorder="1" applyAlignment="1">
      <alignment horizontal="center" vertical="center"/>
    </xf>
    <xf numFmtId="0" fontId="157" fillId="0" borderId="257" xfId="0" applyFont="1" applyFill="1" applyBorder="1" applyAlignment="1">
      <alignment horizontal="left" vertical="center" wrapText="1" readingOrder="1"/>
    </xf>
    <xf numFmtId="0" fontId="157" fillId="0" borderId="257" xfId="0" applyFont="1" applyFill="1" applyBorder="1" applyAlignment="1">
      <alignment horizontal="center" vertical="center" wrapText="1" readingOrder="1"/>
    </xf>
    <xf numFmtId="0" fontId="157" fillId="0" borderId="19" xfId="0" applyFont="1" applyFill="1" applyBorder="1" applyAlignment="1">
      <alignment horizontal="center" vertical="center" wrapText="1" readingOrder="1"/>
    </xf>
    <xf numFmtId="0" fontId="157" fillId="0" borderId="260" xfId="0" applyFont="1" applyFill="1" applyBorder="1" applyAlignment="1">
      <alignment horizontal="center" vertical="center" readingOrder="1"/>
    </xf>
    <xf numFmtId="0" fontId="160" fillId="0" borderId="262" xfId="0" applyFont="1" applyFill="1" applyBorder="1" applyAlignment="1">
      <alignment horizontal="center"/>
    </xf>
    <xf numFmtId="0" fontId="157" fillId="0" borderId="264" xfId="0" applyFont="1" applyFill="1" applyBorder="1" applyAlignment="1">
      <alignment horizontal="left" vertical="center" wrapText="1" readingOrder="1"/>
    </xf>
    <xf numFmtId="0" fontId="157" fillId="0" borderId="264" xfId="0" applyFont="1" applyFill="1" applyBorder="1" applyAlignment="1">
      <alignment horizontal="center" vertical="center" readingOrder="1"/>
    </xf>
    <xf numFmtId="0" fontId="157" fillId="0" borderId="265" xfId="0" applyFont="1" applyFill="1" applyBorder="1" applyAlignment="1">
      <alignment horizontal="center" vertical="center" readingOrder="1"/>
    </xf>
    <xf numFmtId="0" fontId="157" fillId="0" borderId="30" xfId="0" applyFont="1" applyFill="1" applyBorder="1" applyAlignment="1">
      <alignment horizontal="center" vertical="center" readingOrder="1"/>
    </xf>
    <xf numFmtId="0" fontId="157" fillId="8" borderId="256" xfId="0" applyFont="1" applyFill="1" applyBorder="1" applyAlignment="1">
      <alignment horizontal="left" vertical="center"/>
    </xf>
    <xf numFmtId="0" fontId="157" fillId="8" borderId="257" xfId="0" applyFont="1" applyFill="1" applyBorder="1" applyAlignment="1">
      <alignment horizontal="left" vertical="center" readingOrder="2"/>
    </xf>
    <xf numFmtId="0" fontId="157" fillId="8" borderId="19" xfId="0" applyFont="1" applyFill="1" applyBorder="1" applyAlignment="1">
      <alignment horizontal="left" vertical="center" readingOrder="2"/>
    </xf>
    <xf numFmtId="9" fontId="153" fillId="8" borderId="25" xfId="0" applyNumberFormat="1" applyFont="1" applyFill="1" applyBorder="1" applyAlignment="1">
      <alignment horizontal="center" vertical="center"/>
    </xf>
    <xf numFmtId="9" fontId="157" fillId="2" borderId="22" xfId="0" applyNumberFormat="1" applyFont="1" applyFill="1" applyBorder="1" applyAlignment="1">
      <alignment horizontal="left" vertical="center" readingOrder="2"/>
    </xf>
    <xf numFmtId="0" fontId="157" fillId="2" borderId="0" xfId="0" applyFont="1" applyFill="1" applyBorder="1" applyAlignment="1">
      <alignment horizontal="left" vertical="center" readingOrder="2"/>
    </xf>
    <xf numFmtId="9" fontId="157" fillId="2" borderId="25" xfId="0" applyNumberFormat="1" applyFont="1" applyFill="1" applyBorder="1" applyAlignment="1">
      <alignment horizontal="center" vertical="center" readingOrder="2"/>
    </xf>
    <xf numFmtId="9" fontId="157" fillId="8" borderId="263" xfId="0" applyNumberFormat="1" applyFont="1" applyFill="1" applyBorder="1" applyAlignment="1">
      <alignment horizontal="left" vertical="center"/>
    </xf>
    <xf numFmtId="0" fontId="153" fillId="0" borderId="22" xfId="0" applyFont="1" applyBorder="1" applyAlignment="1">
      <alignment horizontal="center" vertical="center"/>
    </xf>
    <xf numFmtId="0" fontId="153" fillId="0" borderId="0" xfId="0" applyFont="1" applyBorder="1" applyAlignment="1">
      <alignment horizontal="center" vertical="center"/>
    </xf>
    <xf numFmtId="0" fontId="153" fillId="0" borderId="25" xfId="0" applyFont="1" applyBorder="1" applyAlignment="1">
      <alignment horizontal="center" vertical="center"/>
    </xf>
    <xf numFmtId="9" fontId="157" fillId="2" borderId="263" xfId="0" applyNumberFormat="1" applyFont="1" applyFill="1" applyBorder="1" applyAlignment="1">
      <alignment horizontal="left" vertical="center"/>
    </xf>
    <xf numFmtId="0" fontId="153" fillId="2" borderId="22" xfId="0" applyFont="1" applyFill="1" applyBorder="1" applyAlignment="1">
      <alignment horizontal="center" vertical="center"/>
    </xf>
    <xf numFmtId="9" fontId="157" fillId="8" borderId="22" xfId="0" applyNumberFormat="1" applyFont="1" applyFill="1" applyBorder="1" applyAlignment="1">
      <alignment horizontal="center" vertical="center"/>
    </xf>
    <xf numFmtId="9" fontId="157" fillId="8" borderId="25" xfId="0" applyNumberFormat="1" applyFont="1" applyFill="1" applyBorder="1" applyAlignment="1">
      <alignment horizontal="center" vertical="center"/>
    </xf>
    <xf numFmtId="9" fontId="157" fillId="8" borderId="253" xfId="0" applyNumberFormat="1" applyFont="1" applyFill="1" applyBorder="1" applyAlignment="1">
      <alignment horizontal="left" vertical="center"/>
    </xf>
    <xf numFmtId="9" fontId="157" fillId="8" borderId="264" xfId="0" applyNumberFormat="1" applyFont="1" applyFill="1" applyBorder="1" applyAlignment="1">
      <alignment horizontal="center" vertical="center"/>
    </xf>
    <xf numFmtId="9" fontId="157" fillId="8" borderId="265" xfId="0" applyNumberFormat="1" applyFont="1" applyFill="1" applyBorder="1" applyAlignment="1">
      <alignment horizontal="center" vertical="center"/>
    </xf>
    <xf numFmtId="9" fontId="157" fillId="8" borderId="30" xfId="0" applyNumberFormat="1" applyFont="1" applyFill="1" applyBorder="1" applyAlignment="1">
      <alignment horizontal="center" vertical="center"/>
    </xf>
    <xf numFmtId="0" fontId="156" fillId="3" borderId="253" xfId="0" applyFont="1" applyFill="1" applyBorder="1" applyAlignment="1">
      <alignment horizontal="center" vertical="center" wrapText="1"/>
    </xf>
    <xf numFmtId="0" fontId="153" fillId="0" borderId="264" xfId="0" applyFont="1" applyFill="1" applyBorder="1" applyAlignment="1">
      <alignment horizontal="right" vertical="center" wrapText="1" readingOrder="2"/>
    </xf>
    <xf numFmtId="0" fontId="153" fillId="0" borderId="265" xfId="0" applyFont="1" applyFill="1" applyBorder="1" applyAlignment="1">
      <alignment horizontal="right" vertical="center" wrapText="1" readingOrder="2"/>
    </xf>
    <xf numFmtId="0" fontId="153" fillId="0" borderId="30" xfId="0" applyFont="1" applyFill="1" applyBorder="1" applyAlignment="1">
      <alignment horizontal="right" vertical="center" wrapText="1" readingOrder="2"/>
    </xf>
    <xf numFmtId="0" fontId="156" fillId="0" borderId="139" xfId="0" applyFont="1" applyFill="1" applyBorder="1" applyAlignment="1">
      <alignment horizontal="center" vertical="center" wrapText="1"/>
    </xf>
    <xf numFmtId="0" fontId="156" fillId="0" borderId="140" xfId="0" applyFont="1" applyFill="1" applyBorder="1" applyAlignment="1">
      <alignment horizontal="center" vertical="center" wrapText="1"/>
    </xf>
    <xf numFmtId="0" fontId="156" fillId="0" borderId="141" xfId="0" applyFont="1" applyFill="1" applyBorder="1" applyAlignment="1">
      <alignment horizontal="center" vertical="center" wrapText="1"/>
    </xf>
    <xf numFmtId="0" fontId="156" fillId="0" borderId="256" xfId="0" applyFont="1" applyFill="1" applyBorder="1" applyAlignment="1">
      <alignment horizontal="center" vertical="center"/>
    </xf>
    <xf numFmtId="0" fontId="156" fillId="0" borderId="139" xfId="0" applyFont="1" applyFill="1" applyBorder="1" applyAlignment="1">
      <alignment horizontal="center" vertical="center"/>
    </xf>
    <xf numFmtId="0" fontId="156" fillId="0" borderId="141" xfId="0" applyFont="1" applyFill="1" applyBorder="1" applyAlignment="1">
      <alignment horizontal="center" vertical="center"/>
    </xf>
    <xf numFmtId="0" fontId="154" fillId="0" borderId="0" xfId="0" applyFont="1" applyAlignment="1">
      <alignment horizontal="right"/>
    </xf>
    <xf numFmtId="0" fontId="156" fillId="0" borderId="139" xfId="0" applyFont="1" applyFill="1" applyBorder="1" applyAlignment="1">
      <alignment horizontal="center" vertical="center"/>
    </xf>
    <xf numFmtId="0" fontId="156" fillId="0" borderId="262" xfId="0" applyFont="1" applyFill="1" applyBorder="1" applyAlignment="1">
      <alignment horizontal="center" vertical="center"/>
    </xf>
    <xf numFmtId="0" fontId="151" fillId="0" borderId="257" xfId="0" applyFont="1" applyBorder="1" applyAlignment="1">
      <alignment horizontal="center" vertical="center"/>
    </xf>
    <xf numFmtId="0" fontId="151" fillId="0" borderId="19" xfId="0" applyFont="1" applyBorder="1" applyAlignment="1">
      <alignment horizontal="center" vertical="center"/>
    </xf>
    <xf numFmtId="0" fontId="151" fillId="0" borderId="260" xfId="0" applyFont="1" applyBorder="1" applyAlignment="1">
      <alignment horizontal="center" vertical="center"/>
    </xf>
    <xf numFmtId="0" fontId="151" fillId="0" borderId="29" xfId="0" applyFont="1" applyBorder="1" applyAlignment="1">
      <alignment horizontal="center" vertical="center"/>
    </xf>
    <xf numFmtId="0" fontId="151" fillId="0" borderId="3" xfId="0" applyFont="1" applyBorder="1" applyAlignment="1">
      <alignment horizontal="center" vertical="center"/>
    </xf>
    <xf numFmtId="0" fontId="151" fillId="0" borderId="28" xfId="0" applyFont="1" applyBorder="1" applyAlignment="1">
      <alignment horizontal="center" vertical="center"/>
    </xf>
    <xf numFmtId="0" fontId="155" fillId="0" borderId="0" xfId="0" applyFont="1"/>
    <xf numFmtId="0" fontId="155" fillId="8" borderId="0" xfId="0" applyFont="1" applyFill="1"/>
    <xf numFmtId="0" fontId="156" fillId="0" borderId="24" xfId="0" applyFont="1" applyBorder="1" applyAlignment="1">
      <alignment horizontal="right" vertical="center"/>
    </xf>
    <xf numFmtId="0" fontId="156" fillId="0" borderId="1" xfId="0" applyFont="1" applyBorder="1" applyAlignment="1">
      <alignment horizontal="right" vertical="center"/>
    </xf>
    <xf numFmtId="0" fontId="156" fillId="0" borderId="21" xfId="0" applyFont="1" applyBorder="1" applyAlignment="1">
      <alignment horizontal="right" vertical="center"/>
    </xf>
    <xf numFmtId="0" fontId="156" fillId="0" borderId="24" xfId="0" applyFont="1" applyBorder="1" applyAlignment="1">
      <alignment horizontal="center" vertical="center"/>
    </xf>
    <xf numFmtId="0" fontId="156" fillId="0" borderId="1" xfId="0" applyFont="1" applyBorder="1" applyAlignment="1">
      <alignment horizontal="center" vertical="center"/>
    </xf>
    <xf numFmtId="0" fontId="156" fillId="0" borderId="21" xfId="0" applyFont="1" applyBorder="1" applyAlignment="1">
      <alignment horizontal="center" vertical="center"/>
    </xf>
    <xf numFmtId="0" fontId="154" fillId="8" borderId="0" xfId="0" applyFont="1" applyFill="1" applyAlignment="1">
      <alignment horizontal="center"/>
    </xf>
    <xf numFmtId="0" fontId="153" fillId="0" borderId="24" xfId="0" applyFont="1" applyBorder="1" applyAlignment="1">
      <alignment horizontal="center" vertical="center"/>
    </xf>
    <xf numFmtId="0" fontId="153" fillId="0" borderId="1" xfId="0" applyFont="1" applyBorder="1" applyAlignment="1">
      <alignment horizontal="center" vertical="center"/>
    </xf>
    <xf numFmtId="0" fontId="153" fillId="0" borderId="21" xfId="0" applyFont="1" applyBorder="1" applyAlignment="1">
      <alignment horizontal="center" vertical="center"/>
    </xf>
    <xf numFmtId="0" fontId="153" fillId="0" borderId="0" xfId="0" applyFont="1"/>
    <xf numFmtId="0" fontId="156" fillId="0" borderId="31" xfId="0" applyFont="1" applyBorder="1" applyAlignment="1">
      <alignment horizontal="center" vertical="center"/>
    </xf>
    <xf numFmtId="0" fontId="156" fillId="0" borderId="8" xfId="0" applyFont="1" applyBorder="1" applyAlignment="1">
      <alignment horizontal="center" vertical="center"/>
    </xf>
    <xf numFmtId="0" fontId="156" fillId="0" borderId="41" xfId="0" applyFont="1" applyBorder="1" applyAlignment="1">
      <alignment horizontal="center" vertical="center"/>
    </xf>
    <xf numFmtId="0" fontId="156" fillId="0" borderId="139" xfId="0" applyFont="1" applyBorder="1" applyAlignment="1">
      <alignment horizontal="center" vertical="center"/>
    </xf>
    <xf numFmtId="0" fontId="156" fillId="0" borderId="140" xfId="0" applyFont="1" applyBorder="1" applyAlignment="1">
      <alignment horizontal="center" vertical="center"/>
    </xf>
    <xf numFmtId="0" fontId="156" fillId="0" borderId="141" xfId="0" applyFont="1" applyBorder="1" applyAlignment="1">
      <alignment horizontal="center" vertical="center"/>
    </xf>
    <xf numFmtId="0" fontId="153" fillId="0" borderId="15" xfId="0" applyFont="1" applyBorder="1" applyAlignment="1">
      <alignment horizontal="center"/>
    </xf>
    <xf numFmtId="0" fontId="161" fillId="38" borderId="15" xfId="0" applyFont="1" applyFill="1" applyBorder="1" applyAlignment="1">
      <alignment horizontal="left"/>
    </xf>
    <xf numFmtId="0" fontId="162" fillId="38" borderId="6" xfId="0" applyFont="1" applyFill="1" applyBorder="1" applyAlignment="1">
      <alignment horizontal="center" vertical="center"/>
    </xf>
    <xf numFmtId="9" fontId="161" fillId="38" borderId="15" xfId="0" applyNumberFormat="1" applyFont="1" applyFill="1" applyBorder="1" applyAlignment="1">
      <alignment vertical="center"/>
    </xf>
    <xf numFmtId="9" fontId="161" fillId="38" borderId="15" xfId="0" applyNumberFormat="1" applyFont="1" applyFill="1" applyBorder="1" applyAlignment="1">
      <alignment horizontal="left" vertical="center"/>
    </xf>
    <xf numFmtId="0" fontId="161" fillId="0" borderId="2" xfId="0" applyFont="1" applyBorder="1" applyAlignment="1">
      <alignment horizontal="center"/>
    </xf>
    <xf numFmtId="0" fontId="161" fillId="0" borderId="2" xfId="0" applyFont="1" applyBorder="1" applyAlignment="1">
      <alignment horizontal="left"/>
    </xf>
    <xf numFmtId="0" fontId="162" fillId="8" borderId="2" xfId="0" applyFont="1" applyFill="1" applyBorder="1" applyAlignment="1">
      <alignment horizontal="center"/>
    </xf>
    <xf numFmtId="0" fontId="161" fillId="0" borderId="0" xfId="0" applyFont="1" applyAlignment="1">
      <alignment horizontal="center"/>
    </xf>
    <xf numFmtId="0" fontId="161" fillId="0" borderId="0" xfId="0" applyFont="1"/>
    <xf numFmtId="0" fontId="163" fillId="0" borderId="0" xfId="0" applyFont="1"/>
    <xf numFmtId="0" fontId="164" fillId="0" borderId="2" xfId="0" applyFont="1" applyFill="1" applyBorder="1" applyAlignment="1">
      <alignment horizontal="center"/>
    </xf>
    <xf numFmtId="0" fontId="164" fillId="0" borderId="2" xfId="0" applyFont="1" applyBorder="1" applyAlignment="1">
      <alignment horizontal="center"/>
    </xf>
    <xf numFmtId="0" fontId="165" fillId="0" borderId="2" xfId="0" applyFont="1" applyBorder="1" applyAlignment="1">
      <alignment horizontal="center"/>
    </xf>
    <xf numFmtId="0" fontId="154" fillId="0" borderId="2" xfId="0" applyFont="1" applyBorder="1" applyAlignment="1">
      <alignment horizontal="center"/>
    </xf>
    <xf numFmtId="0" fontId="154" fillId="0" borderId="2" xfId="0" applyFont="1" applyBorder="1"/>
    <xf numFmtId="0" fontId="153" fillId="0" borderId="2" xfId="0" applyFont="1" applyBorder="1" applyAlignment="1">
      <alignment horizontal="center"/>
    </xf>
    <xf numFmtId="16" fontId="162" fillId="8" borderId="2" xfId="0" applyNumberFormat="1" applyFont="1" applyFill="1" applyBorder="1" applyAlignment="1">
      <alignment horizontal="center"/>
    </xf>
    <xf numFmtId="9" fontId="163" fillId="0" borderId="2" xfId="1" applyFont="1" applyBorder="1" applyAlignment="1">
      <alignment horizontal="center"/>
    </xf>
    <xf numFmtId="9" fontId="154" fillId="0" borderId="2" xfId="0" applyNumberFormat="1" applyFont="1" applyBorder="1" applyAlignment="1">
      <alignment horizontal="center"/>
    </xf>
    <xf numFmtId="0" fontId="155" fillId="0" borderId="2" xfId="0" applyFont="1" applyBorder="1" applyAlignment="1"/>
    <xf numFmtId="9" fontId="153" fillId="0" borderId="2" xfId="0" applyNumberFormat="1" applyFont="1" applyBorder="1" applyAlignment="1">
      <alignment horizontal="center"/>
    </xf>
    <xf numFmtId="0" fontId="161" fillId="38" borderId="4" xfId="0" applyFont="1" applyFill="1" applyBorder="1" applyAlignment="1">
      <alignment horizontal="center" wrapText="1"/>
    </xf>
    <xf numFmtId="0" fontId="166" fillId="38" borderId="2" xfId="0" applyFont="1" applyFill="1" applyBorder="1" applyAlignment="1">
      <alignment horizontal="center"/>
    </xf>
    <xf numFmtId="0" fontId="161" fillId="38" borderId="4" xfId="0" applyFont="1" applyFill="1" applyBorder="1" applyAlignment="1"/>
    <xf numFmtId="0" fontId="161" fillId="38" borderId="1" xfId="0" applyFont="1" applyFill="1" applyBorder="1" applyAlignment="1"/>
    <xf numFmtId="0" fontId="161" fillId="38" borderId="5" xfId="0" applyFont="1" applyFill="1" applyBorder="1" applyAlignment="1"/>
    <xf numFmtId="0" fontId="166" fillId="0" borderId="2" xfId="0" applyFont="1" applyBorder="1" applyAlignment="1">
      <alignment horizontal="center"/>
    </xf>
    <xf numFmtId="0" fontId="161" fillId="0" borderId="4" xfId="0" applyFont="1" applyBorder="1" applyAlignment="1">
      <alignment horizontal="center"/>
    </xf>
    <xf numFmtId="0" fontId="161" fillId="0" borderId="1" xfId="0" applyFont="1" applyBorder="1" applyAlignment="1">
      <alignment horizontal="center"/>
    </xf>
    <xf numFmtId="0" fontId="161" fillId="0" borderId="5" xfId="0" applyFont="1" applyBorder="1" applyAlignment="1">
      <alignment horizontal="center"/>
    </xf>
    <xf numFmtId="9" fontId="163" fillId="0" borderId="2" xfId="1" applyNumberFormat="1" applyFont="1" applyBorder="1" applyAlignment="1">
      <alignment horizontal="center"/>
    </xf>
    <xf numFmtId="9" fontId="154" fillId="0" borderId="0" xfId="0" applyNumberFormat="1" applyFont="1" applyAlignment="1">
      <alignment horizontal="center"/>
    </xf>
    <xf numFmtId="0" fontId="153" fillId="38" borderId="9" xfId="0" applyFont="1" applyFill="1" applyBorder="1" applyAlignment="1">
      <alignment horizontal="left"/>
    </xf>
    <xf numFmtId="0" fontId="153" fillId="38" borderId="8" xfId="0" applyFont="1" applyFill="1" applyBorder="1" applyAlignment="1">
      <alignment horizontal="left"/>
    </xf>
    <xf numFmtId="0" fontId="153" fillId="38" borderId="10" xfId="0" applyFont="1" applyFill="1" applyBorder="1" applyAlignment="1">
      <alignment horizontal="left"/>
    </xf>
    <xf numFmtId="0" fontId="161" fillId="0" borderId="4" xfId="0" applyFont="1" applyBorder="1" applyAlignment="1"/>
    <xf numFmtId="0" fontId="161" fillId="0" borderId="1" xfId="0" applyFont="1" applyBorder="1" applyAlignment="1"/>
    <xf numFmtId="0" fontId="161" fillId="0" borderId="5" xfId="0" applyFont="1" applyBorder="1" applyAlignment="1"/>
    <xf numFmtId="0" fontId="164" fillId="0" borderId="0" xfId="0" applyFont="1" applyAlignment="1">
      <alignment horizontal="center"/>
    </xf>
    <xf numFmtId="0" fontId="163" fillId="0" borderId="0" xfId="0" applyFont="1" applyAlignment="1">
      <alignment horizontal="center"/>
    </xf>
    <xf numFmtId="16" fontId="161" fillId="0" borderId="0" xfId="0" applyNumberFormat="1" applyFont="1" applyAlignment="1">
      <alignment horizontal="center"/>
    </xf>
    <xf numFmtId="0" fontId="161" fillId="0" borderId="0" xfId="0" applyFont="1" applyAlignment="1">
      <alignment horizontal="center"/>
    </xf>
    <xf numFmtId="16" fontId="161" fillId="0" borderId="0" xfId="0" applyNumberFormat="1" applyFont="1" applyAlignment="1">
      <alignment horizontal="center"/>
    </xf>
    <xf numFmtId="0" fontId="161" fillId="38" borderId="2" xfId="0" applyFont="1" applyFill="1" applyBorder="1"/>
    <xf numFmtId="0" fontId="161" fillId="38" borderId="2" xfId="0" applyFont="1" applyFill="1" applyBorder="1" applyAlignment="1">
      <alignment horizontal="center"/>
    </xf>
    <xf numFmtId="9" fontId="161" fillId="38" borderId="2" xfId="0" applyNumberFormat="1" applyFont="1" applyFill="1" applyBorder="1"/>
    <xf numFmtId="0" fontId="161" fillId="38" borderId="2" xfId="0" applyFont="1" applyFill="1" applyBorder="1" applyAlignment="1"/>
    <xf numFmtId="0" fontId="153" fillId="38" borderId="5" xfId="0" applyFont="1" applyFill="1" applyBorder="1"/>
    <xf numFmtId="0" fontId="153" fillId="0" borderId="2" xfId="0" applyFont="1" applyBorder="1"/>
    <xf numFmtId="16" fontId="161" fillId="0" borderId="2" xfId="0" applyNumberFormat="1" applyFont="1" applyBorder="1" applyAlignment="1"/>
    <xf numFmtId="0" fontId="153" fillId="0" borderId="5" xfId="0" applyFont="1" applyBorder="1"/>
    <xf numFmtId="0" fontId="161" fillId="0" borderId="2" xfId="0" applyFont="1" applyBorder="1" applyAlignment="1"/>
    <xf numFmtId="0" fontId="153" fillId="0" borderId="1" xfId="0" applyFont="1" applyBorder="1" applyAlignment="1">
      <alignment horizontal="center"/>
    </xf>
    <xf numFmtId="0" fontId="153" fillId="0" borderId="5" xfId="0" applyFont="1" applyBorder="1" applyAlignment="1">
      <alignment horizontal="center"/>
    </xf>
    <xf numFmtId="0" fontId="161" fillId="0" borderId="2" xfId="0" applyFont="1" applyBorder="1"/>
    <xf numFmtId="0" fontId="153" fillId="38" borderId="2" xfId="0" applyFont="1" applyFill="1" applyBorder="1"/>
    <xf numFmtId="0" fontId="153" fillId="38" borderId="2" xfId="0" applyFont="1" applyFill="1" applyBorder="1" applyAlignment="1">
      <alignment horizontal="center"/>
    </xf>
    <xf numFmtId="0" fontId="153" fillId="38" borderId="2" xfId="0" applyFont="1" applyFill="1" applyBorder="1" applyAlignment="1">
      <alignment horizontal="center"/>
    </xf>
    <xf numFmtId="0" fontId="153" fillId="0" borderId="2" xfId="0" applyFont="1" applyBorder="1" applyAlignment="1">
      <alignment horizontal="center"/>
    </xf>
    <xf numFmtId="0" fontId="153" fillId="0" borderId="2" xfId="0" applyFont="1" applyBorder="1" applyAlignment="1">
      <alignment horizontal="center" wrapText="1"/>
    </xf>
    <xf numFmtId="0" fontId="153" fillId="38" borderId="2" xfId="0" applyFont="1" applyFill="1" applyBorder="1" applyAlignment="1">
      <alignment horizontal="left"/>
    </xf>
    <xf numFmtId="0" fontId="153" fillId="0" borderId="2" xfId="0" applyFont="1" applyBorder="1" applyAlignment="1">
      <alignment wrapText="1"/>
    </xf>
    <xf numFmtId="0" fontId="153" fillId="0" borderId="2" xfId="0" applyFont="1" applyBorder="1" applyAlignment="1"/>
    <xf numFmtId="0" fontId="153" fillId="0" borderId="2" xfId="0" applyFont="1" applyBorder="1" applyAlignment="1">
      <alignment horizontal="left"/>
    </xf>
    <xf numFmtId="0" fontId="153" fillId="0" borderId="2" xfId="0" applyFont="1" applyFill="1" applyBorder="1"/>
    <xf numFmtId="0" fontId="153" fillId="0" borderId="2" xfId="0" applyFont="1" applyFill="1" applyBorder="1" applyAlignment="1">
      <alignment horizontal="center"/>
    </xf>
    <xf numFmtId="0" fontId="153" fillId="0" borderId="2" xfId="0" applyFont="1" applyFill="1" applyBorder="1" applyAlignment="1">
      <alignment horizontal="center"/>
    </xf>
    <xf numFmtId="0" fontId="153" fillId="0" borderId="0" xfId="0" applyFont="1" applyFill="1"/>
    <xf numFmtId="16" fontId="153" fillId="0" borderId="2" xfId="0" applyNumberFormat="1" applyFont="1" applyFill="1" applyBorder="1"/>
    <xf numFmtId="0" fontId="152" fillId="0" borderId="0" xfId="0" applyFont="1" applyFill="1" applyBorder="1"/>
    <xf numFmtId="0" fontId="153" fillId="0" borderId="0" xfId="0" applyFont="1" applyFill="1" applyBorder="1" applyAlignment="1">
      <alignment horizontal="right"/>
    </xf>
    <xf numFmtId="0" fontId="155" fillId="0" borderId="272" xfId="0" applyFont="1" applyBorder="1"/>
    <xf numFmtId="0" fontId="155" fillId="0" borderId="15" xfId="0" applyFont="1" applyBorder="1"/>
    <xf numFmtId="0" fontId="155" fillId="0" borderId="2" xfId="0" applyFont="1" applyBorder="1"/>
    <xf numFmtId="0" fontId="155" fillId="0" borderId="273" xfId="0" applyFont="1" applyBorder="1"/>
    <xf numFmtId="0" fontId="155" fillId="0" borderId="274" xfId="0" applyFont="1" applyBorder="1"/>
    <xf numFmtId="0" fontId="154" fillId="0" borderId="273" xfId="0" applyFont="1" applyBorder="1" applyAlignment="1">
      <alignment horizontal="center"/>
    </xf>
    <xf numFmtId="0" fontId="154" fillId="0" borderId="7" xfId="0" applyFont="1" applyBorder="1" applyAlignment="1">
      <alignment horizontal="right" vertical="top" wrapText="1" readingOrder="2"/>
    </xf>
    <xf numFmtId="0" fontId="154" fillId="0" borderId="275" xfId="0" applyFont="1" applyBorder="1" applyAlignment="1">
      <alignment horizontal="left" vertical="top" wrapText="1" readingOrder="2"/>
    </xf>
    <xf numFmtId="0" fontId="154" fillId="0" borderId="7" xfId="0" applyFont="1" applyBorder="1" applyAlignment="1">
      <alignment horizontal="center"/>
    </xf>
    <xf numFmtId="0" fontId="154" fillId="0" borderId="2" xfId="0" applyFont="1" applyBorder="1" applyAlignment="1">
      <alignment horizontal="right" vertical="top" wrapText="1" readingOrder="2"/>
    </xf>
    <xf numFmtId="0" fontId="154" fillId="0" borderId="276" xfId="0" applyFont="1" applyBorder="1" applyAlignment="1">
      <alignment horizontal="left" vertical="top" wrapText="1" readingOrder="2"/>
    </xf>
    <xf numFmtId="0" fontId="154" fillId="0" borderId="5" xfId="0" applyFont="1" applyBorder="1" applyAlignment="1">
      <alignment horizontal="center"/>
    </xf>
    <xf numFmtId="0" fontId="154" fillId="0" borderId="5" xfId="0" applyFont="1" applyBorder="1" applyAlignment="1">
      <alignment horizontal="right" vertical="top" wrapText="1" readingOrder="2"/>
    </xf>
    <xf numFmtId="0" fontId="155" fillId="0" borderId="13" xfId="0" applyFont="1" applyFill="1" applyBorder="1"/>
    <xf numFmtId="0" fontId="155" fillId="43" borderId="2" xfId="0" applyFont="1" applyFill="1" applyBorder="1"/>
    <xf numFmtId="0" fontId="155" fillId="0" borderId="0" xfId="0" applyFont="1" applyFill="1" applyBorder="1" applyAlignment="1">
      <alignment horizontal="center"/>
    </xf>
    <xf numFmtId="0" fontId="155" fillId="0" borderId="3" xfId="0" applyFont="1" applyBorder="1" applyAlignment="1">
      <alignment horizontal="center"/>
    </xf>
    <xf numFmtId="0" fontId="154" fillId="8" borderId="2" xfId="0" applyFont="1" applyFill="1" applyBorder="1" applyAlignment="1">
      <alignment horizontal="right" vertical="top" wrapText="1" readingOrder="2"/>
    </xf>
    <xf numFmtId="0" fontId="154" fillId="43" borderId="2" xfId="0" applyFont="1" applyFill="1" applyBorder="1" applyAlignment="1">
      <alignment horizontal="left" vertical="top" wrapText="1" readingOrder="2"/>
    </xf>
    <xf numFmtId="0" fontId="154" fillId="43" borderId="2" xfId="0" applyFont="1" applyFill="1" applyBorder="1" applyAlignment="1">
      <alignment horizontal="center"/>
    </xf>
    <xf numFmtId="0" fontId="154" fillId="0" borderId="13" xfId="0" applyFont="1" applyFill="1" applyBorder="1" applyAlignment="1">
      <alignment horizontal="right" vertical="top" wrapText="1" readingOrder="2"/>
    </xf>
    <xf numFmtId="0" fontId="155" fillId="0" borderId="2" xfId="0" applyFont="1" applyFill="1" applyBorder="1" applyAlignment="1">
      <alignment horizontal="right" vertical="top" wrapText="1" readingOrder="2"/>
    </xf>
    <xf numFmtId="0" fontId="155" fillId="0" borderId="2" xfId="0" applyFont="1" applyBorder="1" applyAlignment="1">
      <alignment horizontal="right"/>
    </xf>
  </cellXfs>
  <cellStyles count="8">
    <cellStyle name="Comma" xfId="2" builtinId="3"/>
    <cellStyle name="Comma 2" xfId="5" xr:uid="{00000000-0005-0000-0000-000001000000}"/>
    <cellStyle name="Currency" xfId="7" builtinId="4"/>
    <cellStyle name="Normal" xfId="0" builtinId="0"/>
    <cellStyle name="Normal 10 3" xfId="3" xr:uid="{00000000-0005-0000-0000-000004000000}"/>
    <cellStyle name="Normal 2" xfId="4" xr:uid="{00000000-0005-0000-0000-000005000000}"/>
    <cellStyle name="Percent" xfId="1" builtinId="5"/>
    <cellStyle name="Percent 2" xfId="6" xr:uid="{00000000-0005-0000-0000-000007000000}"/>
  </cellStyles>
  <dxfs count="1441">
    <dxf>
      <font>
        <color rgb="FF9C0006"/>
      </font>
      <fill>
        <patternFill>
          <bgColor rgb="FFFFC7CE"/>
        </patternFill>
      </fill>
    </dxf>
    <dxf>
      <numFmt numFmtId="177" formatCode="&quot;$&quot;#,##0"/>
    </dxf>
    <dxf>
      <numFmt numFmtId="178" formatCode="[$₪-40D]\ #,##0"/>
    </dxf>
    <dxf>
      <numFmt numFmtId="177" formatCode="&quot;$&quot;#,##0"/>
    </dxf>
    <dxf>
      <numFmt numFmtId="178" formatCode="[$₪-40D]\ #,##0"/>
    </dxf>
    <dxf>
      <numFmt numFmtId="177" formatCode="&quot;$&quot;#,##0"/>
    </dxf>
    <dxf>
      <numFmt numFmtId="178" formatCode="[$₪-40D]\ #,##0"/>
    </dxf>
    <dxf>
      <numFmt numFmtId="177" formatCode="&quot;$&quot;#,##0"/>
    </dxf>
    <dxf>
      <numFmt numFmtId="178" formatCode="[$₪-40D]\ #,##0"/>
    </dxf>
    <dxf>
      <fill>
        <patternFill>
          <bgColor rgb="FFFFFFCC"/>
        </patternFill>
      </fill>
    </dxf>
    <dxf>
      <fill>
        <patternFill>
          <bgColor rgb="FFFFFFCC"/>
        </patternFill>
      </fill>
    </dxf>
    <dxf>
      <fill>
        <patternFill>
          <bgColor rgb="FFFFC000"/>
        </patternFill>
      </fill>
    </dxf>
    <dxf>
      <font>
        <color rgb="FF9C0006"/>
      </font>
      <fill>
        <patternFill>
          <bgColor rgb="FFFFC7CE"/>
        </patternFill>
      </fill>
    </dxf>
    <dxf>
      <fill>
        <patternFill>
          <bgColor rgb="FFFFFFCC"/>
        </patternFill>
      </fill>
    </dxf>
    <dxf>
      <fill>
        <patternFill>
          <bgColor rgb="FFFFFFCC"/>
        </patternFill>
      </fill>
    </dxf>
    <dxf>
      <numFmt numFmtId="170" formatCode="_([$USD]\ * #,##0_);_([$USD]\ * \(#,##0\);_([$USD]\ * &quot;-&quot;_);_(@_)"/>
    </dxf>
    <dxf>
      <numFmt numFmtId="179" formatCode="_([$EUR]\ * #,##0_);_([$EUR]\ * \(#,##0\);_([$EUR]\ * &quot;-&quot;_);_(@_)"/>
    </dxf>
    <dxf>
      <numFmt numFmtId="180" formatCode="_([$ILS]\ * #,##0_);_([$ILS]\ * \(#,##0\);_([$ILS]\ * &quot;-&quot;_);_(@_)"/>
    </dxf>
    <dxf>
      <numFmt numFmtId="170" formatCode="_([$USD]\ * #,##0_);_([$USD]\ * \(#,##0\);_([$USD]\ * &quot;-&quot;_);_(@_)"/>
    </dxf>
    <dxf>
      <numFmt numFmtId="179" formatCode="_([$EUR]\ * #,##0_);_([$EUR]\ * \(#,##0\);_([$EUR]\ * &quot;-&quot;_);_(@_)"/>
    </dxf>
    <dxf>
      <numFmt numFmtId="180" formatCode="_([$ILS]\ * #,##0_);_([$ILS]\ * \(#,##0\);_([$ILS]\ * &quot;-&quot;_);_(@_)"/>
    </dxf>
    <dxf>
      <fill>
        <patternFill>
          <bgColor rgb="FFFFFFCC"/>
        </patternFill>
      </fill>
    </dxf>
    <dxf>
      <fill>
        <patternFill>
          <bgColor rgb="FFFFFFCC"/>
        </patternFill>
      </fill>
    </dxf>
    <dxf>
      <fill>
        <patternFill>
          <bgColor rgb="FFFFFFCC"/>
        </patternFill>
      </fill>
    </dxf>
    <dxf>
      <numFmt numFmtId="34" formatCode="_(&quot;$&quot;* #,##0.00_);_(&quot;$&quot;* \(#,##0.00\);_(&quot;$&quot;* &quot;-&quot;??_);_(@_)"/>
    </dxf>
    <dxf>
      <numFmt numFmtId="181" formatCode="_([$ILS]\ * #,##0.00_);_([$ILS]\ * \(#,##0.00\);_([$ILS]\ * &quot;-&quot;??_);_(@_)"/>
    </dxf>
    <dxf>
      <fill>
        <patternFill>
          <bgColor rgb="FFFFFFCC"/>
        </patternFill>
      </fill>
    </dxf>
    <dxf>
      <fill>
        <patternFill>
          <bgColor rgb="FFFFFFCC"/>
        </patternFill>
      </fill>
    </dxf>
    <dxf>
      <numFmt numFmtId="182" formatCode="_([$€-2]\ * #,##0_);_([$€-2]\ * \(#,##0\);_([$€-2]\ * &quot;-&quot;_);_(@_)"/>
    </dxf>
    <dxf>
      <border>
        <left/>
        <right/>
        <bottom/>
        <vertical/>
        <horizontal/>
      </border>
    </dxf>
    <dxf>
      <border>
        <left/>
        <right/>
        <bottom/>
        <vertical/>
        <horizontal/>
      </border>
    </dxf>
    <dxf>
      <fill>
        <patternFill>
          <bgColor rgb="FFFFFFA3"/>
        </patternFill>
      </fill>
    </dxf>
    <dxf>
      <fill>
        <patternFill>
          <bgColor rgb="FFFFFFA3"/>
        </patternFill>
      </fill>
    </dxf>
    <dxf>
      <fill>
        <patternFill>
          <bgColor rgb="FFFFFFA3"/>
        </patternFill>
      </fill>
    </dxf>
    <dxf>
      <numFmt numFmtId="183" formatCode="_([$€-2]\ * #,##0.00_);_([$€-2]\ * \(#,##0.00\);_([$€-2]\ * &quot;-&quot;??_);_(@_)"/>
    </dxf>
    <dxf>
      <numFmt numFmtId="34" formatCode="_(&quot;$&quot;* #,##0.00_);_(&quot;$&quot;* \(#,##0.00\);_(&quot;$&quot;* &quot;-&quot;??_);_(@_)"/>
    </dxf>
    <dxf>
      <numFmt numFmtId="181" formatCode="_([$ILS]\ * #,##0.00_);_([$ILS]\ * \(#,##0.00\);_([$ILS]\ * &quot;-&quot;??_);_(@_)"/>
    </dxf>
    <dxf>
      <numFmt numFmtId="34" formatCode="_(&quot;$&quot;* #,##0.00_);_(&quot;$&quot;* \(#,##0.00\);_(&quot;$&quot;* &quot;-&quot;??_);_(@_)"/>
    </dxf>
    <dxf>
      <numFmt numFmtId="181" formatCode="_([$ILS]\ * #,##0.00_);_([$ILS]\ * \(#,##0.00\);_([$ILS]\ * &quot;-&quot;??_);_(@_)"/>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ont>
        <b/>
        <i val="0"/>
        <color rgb="FF404F21"/>
      </font>
      <fill>
        <patternFill>
          <bgColor rgb="FFDCF0C6"/>
        </patternFill>
      </fill>
    </dxf>
    <dxf>
      <font>
        <b/>
        <i val="0"/>
        <color rgb="FF5E5C00"/>
      </font>
      <fill>
        <patternFill>
          <bgColor rgb="FFFFFFB9"/>
        </patternFill>
      </fill>
    </dxf>
    <dxf>
      <font>
        <b/>
        <i val="0"/>
        <color rgb="FFC00000"/>
      </font>
      <fill>
        <patternFill>
          <bgColor rgb="FFFFC1C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numFmt numFmtId="177" formatCode="&quot;$&quot;#,##0"/>
    </dxf>
    <dxf>
      <numFmt numFmtId="178" formatCode="[$₪-40D]\ #,##0"/>
    </dxf>
    <dxf>
      <font>
        <color rgb="FF9C0006"/>
      </font>
      <fill>
        <patternFill>
          <bgColor rgb="FFFFC7CE"/>
        </patternFill>
      </fill>
    </dxf>
    <dxf>
      <numFmt numFmtId="184" formatCode="[$€-2]\ #,##0"/>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theme="5" tint="-0.499984740745262"/>
      </font>
      <fill>
        <patternFill>
          <bgColor theme="5" tint="0.79998168889431442"/>
        </patternFill>
      </fill>
    </dxf>
    <dxf>
      <font>
        <color theme="5" tint="-0.499984740745262"/>
      </font>
      <fill>
        <patternFill>
          <bgColor theme="5" tint="0.7999816888943144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FFCC29"/>
        </patternFill>
      </fill>
    </dxf>
    <dxf>
      <font>
        <strike/>
        <color theme="0" tint="-0.34998626667073579"/>
      </font>
      <border>
        <vertical/>
        <horizontal/>
      </border>
    </dxf>
    <dxf>
      <font>
        <strike/>
        <color theme="0" tint="-0.34998626667073579"/>
      </font>
    </dxf>
    <dxf>
      <font>
        <strike/>
        <color theme="0" tint="-0.34998626667073579"/>
      </font>
    </dxf>
    <dxf>
      <font>
        <strike/>
        <color theme="0" tint="-0.34998626667073579"/>
      </font>
    </dxf>
    <dxf>
      <font>
        <strike/>
        <color theme="0" tint="-0.34998626667073579"/>
      </font>
      <border>
        <vertical/>
        <horizontal/>
      </border>
    </dxf>
    <dxf>
      <font>
        <color theme="0" tint="-0.499984740745262"/>
      </font>
    </dxf>
    <dxf>
      <font>
        <color theme="0" tint="-0.499984740745262"/>
      </font>
    </dxf>
    <dxf>
      <font>
        <color theme="0" tint="-0.499984740745262"/>
      </font>
    </dxf>
    <dxf>
      <font>
        <color theme="0" tint="-0.499984740745262"/>
      </font>
    </dxf>
    <dxf>
      <font>
        <color theme="0" tint="-0.499984740745262"/>
      </font>
    </dxf>
    <dxf>
      <font>
        <color theme="0" tint="-0.499984740745262"/>
      </font>
    </dxf>
    <dxf>
      <numFmt numFmtId="182" formatCode="_([$€-2]\ * #,##0_);_([$€-2]\ * \(#,##0\);_([$€-2]\ * &quot;-&quot;_);_(@_)"/>
    </dxf>
    <dxf>
      <numFmt numFmtId="167" formatCode="_ [$₪-40D]\ * #,##0_ ;_ [$₪-40D]\ * \-#,##0_ ;_ [$₪-40D]\ * &quot;-&quot;_ ;_ @_ "/>
    </dxf>
    <dxf>
      <numFmt numFmtId="32" formatCode="_(&quot;$&quot;* #,##0_);_(&quot;$&quot;* \(#,##0\);_(&quot;$&quot;* &quot;-&quot;_);_(@_)"/>
    </dxf>
    <dxf>
      <font>
        <b/>
        <i val="0"/>
        <color rgb="FF006100"/>
      </font>
      <fill>
        <patternFill patternType="none">
          <bgColor auto="1"/>
        </patternFill>
      </fill>
    </dxf>
    <dxf>
      <font>
        <b/>
        <i val="0"/>
        <color rgb="FF8A6900"/>
      </font>
      <fill>
        <patternFill patternType="none">
          <bgColor auto="1"/>
        </patternFill>
      </fill>
    </dxf>
    <dxf>
      <font>
        <b/>
        <i val="0"/>
        <color rgb="FF9C0006"/>
      </font>
      <fill>
        <patternFill patternType="none">
          <bgColor auto="1"/>
        </patternFill>
      </fill>
    </dxf>
    <dxf>
      <numFmt numFmtId="177" formatCode="&quot;$&quot;#,##0"/>
    </dxf>
    <dxf>
      <numFmt numFmtId="178" formatCode="[$₪-40D]\ #,##0"/>
    </dxf>
    <dxf>
      <numFmt numFmtId="184" formatCode="[$€-2]\ #,##0"/>
    </dxf>
    <dxf>
      <font>
        <b/>
        <i val="0"/>
        <color rgb="FF006100"/>
      </font>
      <fill>
        <patternFill patternType="none">
          <bgColor auto="1"/>
        </patternFill>
      </fill>
    </dxf>
    <dxf>
      <font>
        <b/>
        <i val="0"/>
        <color rgb="FF8A6900"/>
      </font>
      <fill>
        <patternFill patternType="none">
          <bgColor auto="1"/>
        </patternFill>
      </fill>
    </dxf>
    <dxf>
      <font>
        <b/>
        <i val="0"/>
        <color rgb="FF9C0006"/>
      </font>
      <fill>
        <patternFill patternType="none">
          <bgColor auto="1"/>
        </patternFill>
      </fill>
    </dxf>
    <dxf>
      <font>
        <strike/>
        <color theme="0" tint="-0.34998626667073579"/>
      </font>
    </dxf>
    <dxf>
      <font>
        <strike/>
        <color theme="0" tint="-0.34998626667073579"/>
      </font>
    </dxf>
    <dxf>
      <font>
        <strike/>
        <color theme="0" tint="-0.34998626667073579"/>
      </font>
    </dxf>
    <dxf>
      <font>
        <strike/>
        <color theme="0" tint="-0.34998626667073579"/>
      </font>
      <border>
        <vertical/>
        <horizontal/>
      </border>
    </dxf>
    <dxf>
      <font>
        <color theme="0" tint="-0.499984740745262"/>
      </font>
    </dxf>
    <dxf>
      <font>
        <color theme="0" tint="-0.499984740745262"/>
      </font>
    </dxf>
    <dxf>
      <font>
        <color theme="0" tint="-0.499984740745262"/>
      </font>
    </dxf>
    <dxf>
      <font>
        <color theme="0" tint="-0.499984740745262"/>
      </font>
    </dxf>
    <dxf>
      <font>
        <color theme="0" tint="-0.499984740745262"/>
      </font>
    </dxf>
    <dxf>
      <font>
        <color theme="0" tint="-0.499984740745262"/>
      </font>
    </dxf>
    <dxf>
      <font>
        <color theme="0" tint="-0.499984740745262"/>
      </font>
    </dxf>
    <dxf>
      <font>
        <color theme="0" tint="-0.499984740745262"/>
      </font>
    </dxf>
    <dxf>
      <numFmt numFmtId="182" formatCode="_([$€-2]\ * #,##0_);_([$€-2]\ * \(#,##0\);_([$€-2]\ * &quot;-&quot;_);_(@_)"/>
    </dxf>
    <dxf>
      <numFmt numFmtId="167" formatCode="_ [$₪-40D]\ * #,##0_ ;_ [$₪-40D]\ * \-#,##0_ ;_ [$₪-40D]\ * &quot;-&quot;_ ;_ @_ "/>
    </dxf>
    <dxf>
      <numFmt numFmtId="32" formatCode="_(&quot;$&quot;* #,##0_);_(&quot;$&quot;* \(#,##0\);_(&quot;$&quot;* &quot;-&quot;_);_(@_)"/>
    </dxf>
    <dxf>
      <font>
        <b/>
        <i val="0"/>
        <color rgb="FF006100"/>
      </font>
      <fill>
        <patternFill patternType="none">
          <bgColor auto="1"/>
        </patternFill>
      </fill>
    </dxf>
    <dxf>
      <font>
        <b/>
        <i val="0"/>
        <color rgb="FF8A6900"/>
      </font>
      <fill>
        <patternFill patternType="none">
          <bgColor auto="1"/>
        </patternFill>
      </fill>
    </dxf>
    <dxf>
      <font>
        <b/>
        <i val="0"/>
        <color rgb="FF9C0006"/>
      </font>
      <fill>
        <patternFill patternType="none">
          <bgColor auto="1"/>
        </patternFill>
      </fill>
    </dxf>
    <dxf>
      <numFmt numFmtId="177" formatCode="&quot;$&quot;#,##0"/>
    </dxf>
    <dxf>
      <numFmt numFmtId="178" formatCode="[$₪-40D]\ #,##0"/>
    </dxf>
    <dxf>
      <numFmt numFmtId="184" formatCode="[$€-2]\ #,##0"/>
    </dxf>
    <dxf>
      <font>
        <b/>
        <i val="0"/>
        <color rgb="FF006100"/>
      </font>
      <fill>
        <patternFill patternType="none">
          <bgColor auto="1"/>
        </patternFill>
      </fill>
    </dxf>
    <dxf>
      <font>
        <b/>
        <i val="0"/>
        <color rgb="FF8A6900"/>
      </font>
      <fill>
        <patternFill patternType="none">
          <bgColor auto="1"/>
        </patternFill>
      </fill>
    </dxf>
    <dxf>
      <font>
        <b/>
        <i val="0"/>
        <color rgb="FF9C0006"/>
      </font>
      <fill>
        <patternFill patternType="none">
          <bgColor auto="1"/>
        </patternFill>
      </fill>
    </dxf>
    <dxf>
      <fill>
        <patternFill>
          <bgColor rgb="FFFFFFCC"/>
        </patternFill>
      </fill>
    </dxf>
    <dxf>
      <fill>
        <patternFill>
          <bgColor rgb="FFFFFFCC"/>
        </patternFill>
      </fill>
    </dxf>
    <dxf>
      <fill>
        <patternFill>
          <bgColor rgb="FFFFFFCC"/>
        </patternFill>
      </fill>
    </dxf>
    <dxf>
      <numFmt numFmtId="177" formatCode="&quot;$&quot;#,##0"/>
    </dxf>
    <dxf>
      <numFmt numFmtId="178" formatCode="[$₪-40D]\ #,##0"/>
    </dxf>
    <dxf>
      <numFmt numFmtId="177" formatCode="&quot;$&quot;#,##0"/>
    </dxf>
    <dxf>
      <numFmt numFmtId="178" formatCode="[$₪-40D]\ #,##0"/>
    </dxf>
    <dxf>
      <font>
        <b/>
        <i val="0"/>
        <color rgb="FFC00000"/>
      </font>
    </dxf>
    <dxf>
      <font>
        <b/>
        <i val="0"/>
        <color theme="9" tint="-0.499984740745262"/>
      </font>
    </dxf>
    <dxf>
      <numFmt numFmtId="177" formatCode="&quot;$&quot;#,##0"/>
    </dxf>
    <dxf>
      <numFmt numFmtId="178" formatCode="[$₪-40D]\ #,##0"/>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ill>
        <patternFill>
          <bgColor rgb="FFFFC000"/>
        </patternFill>
      </fill>
    </dxf>
    <dxf>
      <font>
        <color rgb="FF9C0006"/>
      </font>
      <fill>
        <patternFill>
          <bgColor rgb="FFFFC7CE"/>
        </patternFill>
      </fill>
    </dxf>
    <dxf>
      <fill>
        <patternFill>
          <bgColor rgb="FFFFFFCC"/>
        </patternFill>
      </fill>
    </dxf>
    <dxf>
      <fill>
        <patternFill>
          <bgColor rgb="FFFFC000"/>
        </patternFill>
      </fill>
    </dxf>
    <dxf>
      <font>
        <color rgb="FF9C0006"/>
      </font>
      <fill>
        <patternFill>
          <bgColor rgb="FFFFC7CE"/>
        </patternFill>
      </fill>
    </dxf>
    <dxf>
      <fill>
        <patternFill>
          <bgColor rgb="FFFFFFCC"/>
        </patternFill>
      </fill>
    </dxf>
    <dxf>
      <numFmt numFmtId="184" formatCode="[$€-2]\ #,##0"/>
    </dxf>
    <dxf>
      <fill>
        <patternFill>
          <bgColor rgb="FFFFFFCC"/>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numFmt numFmtId="184" formatCode="[$€-2]\ #,##0"/>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ill>
        <patternFill>
          <bgColor rgb="FFFFFFCC"/>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ill>
        <patternFill>
          <bgColor rgb="FFFFFFCC"/>
        </patternFill>
      </fill>
    </dxf>
    <dxf>
      <fill>
        <patternFill>
          <bgColor rgb="FFFFC000"/>
        </patternFill>
      </fill>
    </dxf>
    <dxf>
      <font>
        <color rgb="FF9C0006"/>
      </font>
      <fill>
        <patternFill>
          <bgColor rgb="FFFFC7CE"/>
        </patternFill>
      </fill>
    </dxf>
    <dxf>
      <fill>
        <patternFill>
          <bgColor rgb="FFFFFFCC"/>
        </patternFill>
      </fill>
    </dxf>
    <dxf>
      <fill>
        <patternFill>
          <bgColor rgb="FFFFC000"/>
        </patternFill>
      </fill>
    </dxf>
    <dxf>
      <font>
        <color rgb="FF9C0006"/>
      </font>
      <fill>
        <patternFill>
          <bgColor rgb="FFFFC7CE"/>
        </patternFill>
      </fill>
    </dxf>
    <dxf>
      <fill>
        <patternFill>
          <bgColor rgb="FFFFFFCC"/>
        </patternFill>
      </fill>
    </dxf>
    <dxf>
      <fill>
        <patternFill>
          <bgColor rgb="FFFFC000"/>
        </patternFill>
      </fill>
    </dxf>
    <dxf>
      <font>
        <color rgb="FF9C0006"/>
      </font>
      <fill>
        <patternFill>
          <bgColor rgb="FFFFC7CE"/>
        </patternFill>
      </fill>
    </dxf>
    <dxf>
      <fill>
        <patternFill>
          <bgColor rgb="FFFFFFCC"/>
        </patternFill>
      </fill>
    </dxf>
    <dxf>
      <fill>
        <patternFill>
          <bgColor rgb="FFFFC000"/>
        </patternFill>
      </fill>
    </dxf>
    <dxf>
      <font>
        <color rgb="FF9C0006"/>
      </font>
      <fill>
        <patternFill>
          <bgColor rgb="FFFFC7CE"/>
        </patternFill>
      </fill>
    </dxf>
    <dxf>
      <fill>
        <patternFill>
          <bgColor rgb="FFFFFFCC"/>
        </patternFill>
      </fill>
    </dxf>
    <dxf>
      <fill>
        <patternFill>
          <bgColor rgb="FFFFC000"/>
        </patternFill>
      </fill>
    </dxf>
    <dxf>
      <font>
        <color rgb="FF9C0006"/>
      </font>
      <fill>
        <patternFill>
          <bgColor rgb="FFFFC7CE"/>
        </patternFill>
      </fill>
    </dxf>
    <dxf>
      <fill>
        <patternFill>
          <bgColor rgb="FFFFFFCC"/>
        </patternFill>
      </fill>
    </dxf>
    <dxf>
      <fill>
        <patternFill>
          <bgColor rgb="FFFFC000"/>
        </patternFill>
      </fill>
    </dxf>
    <dxf>
      <font>
        <color rgb="FF9C0006"/>
      </font>
      <fill>
        <patternFill>
          <bgColor rgb="FFFFC7CE"/>
        </patternFill>
      </fill>
    </dxf>
    <dxf>
      <fill>
        <patternFill>
          <bgColor rgb="FFFFFFCC"/>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FFD5"/>
        </patternFill>
      </fill>
    </dxf>
    <dxf>
      <numFmt numFmtId="177" formatCode="&quot;$&quot;#,##0"/>
    </dxf>
    <dxf>
      <numFmt numFmtId="178" formatCode="[$₪-40D]\ #,##0"/>
    </dxf>
    <dxf>
      <numFmt numFmtId="184" formatCode="[$€-2]\ #,##0"/>
    </dxf>
    <dxf>
      <fill>
        <patternFill>
          <bgColor rgb="FFFFFFD5"/>
        </patternFill>
      </fill>
    </dxf>
    <dxf>
      <fill>
        <patternFill>
          <bgColor rgb="FFFFFFCC"/>
        </patternFill>
      </fill>
    </dxf>
    <dxf>
      <fill>
        <patternFill>
          <bgColor rgb="FFFFFFCC"/>
        </patternFill>
      </fill>
    </dxf>
    <dxf>
      <fill>
        <patternFill>
          <bgColor rgb="FFFFFFCC"/>
        </patternFill>
      </fill>
    </dxf>
    <dxf>
      <fill>
        <patternFill>
          <bgColor rgb="FFFFC000"/>
        </patternFill>
      </fill>
    </dxf>
    <dxf>
      <font>
        <color rgb="FF9C0006"/>
      </font>
      <fill>
        <patternFill>
          <bgColor rgb="FFFFC7CE"/>
        </patternFill>
      </fill>
    </dxf>
    <dxf>
      <fill>
        <patternFill>
          <bgColor rgb="FFFFFFCC"/>
        </patternFill>
      </fill>
    </dxf>
    <dxf>
      <fill>
        <patternFill>
          <bgColor rgb="FFFFC000"/>
        </patternFill>
      </fill>
    </dxf>
    <dxf>
      <font>
        <color rgb="FF9C0006"/>
      </font>
      <fill>
        <patternFill>
          <bgColor rgb="FFFFC7CE"/>
        </patternFill>
      </fill>
    </dxf>
    <dxf>
      <fill>
        <patternFill>
          <bgColor rgb="FFFFFFCC"/>
        </patternFill>
      </fill>
    </dxf>
    <dxf>
      <fill>
        <patternFill>
          <bgColor rgb="FFFFC000"/>
        </patternFill>
      </fill>
    </dxf>
    <dxf>
      <font>
        <color rgb="FF9C0006"/>
      </font>
      <fill>
        <patternFill>
          <bgColor rgb="FFFFC7CE"/>
        </patternFill>
      </fill>
    </dxf>
    <dxf>
      <fill>
        <patternFill>
          <bgColor rgb="FFFFFFCC"/>
        </patternFill>
      </fill>
    </dxf>
    <dxf>
      <fill>
        <patternFill>
          <bgColor rgb="FFFFC000"/>
        </patternFill>
      </fill>
    </dxf>
    <dxf>
      <font>
        <color rgb="FF9C0006"/>
      </font>
      <fill>
        <patternFill>
          <bgColor rgb="FFFFC7CE"/>
        </patternFill>
      </fill>
    </dxf>
    <dxf>
      <fill>
        <patternFill>
          <bgColor rgb="FFFFFFCC"/>
        </patternFill>
      </fill>
    </dxf>
    <dxf>
      <fill>
        <patternFill>
          <bgColor rgb="FFFFC000"/>
        </patternFill>
      </fill>
    </dxf>
    <dxf>
      <font>
        <color rgb="FF9C0006"/>
      </font>
      <fill>
        <patternFill>
          <bgColor rgb="FFFFC7CE"/>
        </patternFill>
      </fill>
    </dxf>
    <dxf>
      <fill>
        <patternFill>
          <bgColor rgb="FFFFFFCC"/>
        </patternFill>
      </fill>
    </dxf>
    <dxf>
      <fill>
        <patternFill>
          <bgColor rgb="FFFFC000"/>
        </patternFill>
      </fill>
    </dxf>
    <dxf>
      <font>
        <color rgb="FF9C0006"/>
      </font>
      <fill>
        <patternFill>
          <bgColor rgb="FFFFC7CE"/>
        </patternFill>
      </fill>
    </dxf>
    <dxf>
      <fill>
        <patternFill>
          <bgColor rgb="FFFFFFCC"/>
        </patternFill>
      </fill>
    </dxf>
    <dxf>
      <fill>
        <patternFill>
          <bgColor rgb="FFFFC000"/>
        </patternFill>
      </fill>
    </dxf>
    <dxf>
      <font>
        <color rgb="FF9C0006"/>
      </font>
      <fill>
        <patternFill>
          <bgColor rgb="FFFFC7CE"/>
        </patternFill>
      </fill>
    </dxf>
    <dxf>
      <fill>
        <patternFill>
          <bgColor rgb="FFFFFFCC"/>
        </patternFill>
      </fill>
    </dxf>
    <dxf>
      <numFmt numFmtId="177" formatCode="&quot;$&quot;#,##0"/>
    </dxf>
    <dxf>
      <numFmt numFmtId="178" formatCode="[$₪-40D]\ #,##0"/>
    </dxf>
    <dxf>
      <fill>
        <patternFill>
          <bgColor rgb="FFFFC000"/>
        </patternFill>
      </fill>
    </dxf>
    <dxf>
      <font>
        <color rgb="FF9C0006"/>
      </font>
      <fill>
        <patternFill>
          <bgColor rgb="FFFFC7CE"/>
        </patternFill>
      </fill>
    </dxf>
    <dxf>
      <fill>
        <patternFill>
          <bgColor rgb="FFFFFFCC"/>
        </patternFill>
      </fill>
    </dxf>
    <dxf>
      <fill>
        <patternFill>
          <bgColor rgb="FFFFC000"/>
        </patternFill>
      </fill>
    </dxf>
    <dxf>
      <font>
        <color rgb="FF9C0006"/>
      </font>
      <fill>
        <patternFill>
          <bgColor rgb="FFFFC7CE"/>
        </patternFill>
      </fill>
    </dxf>
    <dxf>
      <fill>
        <patternFill>
          <bgColor rgb="FFFFFFCC"/>
        </patternFill>
      </fill>
    </dxf>
    <dxf>
      <fill>
        <patternFill>
          <bgColor rgb="FFFFC000"/>
        </patternFill>
      </fill>
    </dxf>
    <dxf>
      <font>
        <color rgb="FF9C0006"/>
      </font>
      <fill>
        <patternFill>
          <bgColor rgb="FFFFC7CE"/>
        </patternFill>
      </fill>
    </dxf>
    <dxf>
      <fill>
        <patternFill>
          <bgColor rgb="FFFFFFCC"/>
        </patternFill>
      </fill>
    </dxf>
    <dxf>
      <numFmt numFmtId="184" formatCode="[$€-2]\ #,##0"/>
    </dxf>
    <dxf>
      <fill>
        <patternFill>
          <bgColor rgb="FFFFFFCC"/>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ill>
        <patternFill>
          <bgColor rgb="FFFFFFCC"/>
        </patternFill>
      </fill>
    </dxf>
    <dxf>
      <fill>
        <patternFill>
          <bgColor rgb="FFFFFFCC"/>
        </patternFill>
      </fill>
    </dxf>
    <dxf>
      <fill>
        <patternFill>
          <bgColor rgb="FFFFFFCC"/>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ill>
        <patternFill>
          <bgColor rgb="FFFFC000"/>
        </patternFill>
      </fill>
    </dxf>
    <dxf>
      <font>
        <color rgb="FF9C0006"/>
      </font>
      <fill>
        <patternFill>
          <bgColor rgb="FFFFC7CE"/>
        </patternFill>
      </fill>
    </dxf>
    <dxf>
      <fill>
        <patternFill>
          <bgColor rgb="FFFFFFCC"/>
        </patternFill>
      </fill>
    </dxf>
    <dxf>
      <fill>
        <patternFill>
          <bgColor rgb="FFFFC000"/>
        </patternFill>
      </fill>
    </dxf>
    <dxf>
      <font>
        <color rgb="FF9C0006"/>
      </font>
      <fill>
        <patternFill>
          <bgColor rgb="FFFFC7CE"/>
        </patternFill>
      </fill>
    </dxf>
    <dxf>
      <fill>
        <patternFill>
          <bgColor rgb="FFFFFFCC"/>
        </patternFill>
      </fill>
    </dxf>
    <dxf>
      <fill>
        <patternFill>
          <bgColor rgb="FFFFC000"/>
        </patternFill>
      </fill>
    </dxf>
    <dxf>
      <font>
        <color rgb="FF9C0006"/>
      </font>
      <fill>
        <patternFill>
          <bgColor rgb="FFFFC7CE"/>
        </patternFill>
      </fill>
    </dxf>
    <dxf>
      <fill>
        <patternFill>
          <bgColor rgb="FFFFFFCC"/>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ill>
        <patternFill>
          <bgColor rgb="FFFFC000"/>
        </patternFill>
      </fill>
    </dxf>
    <dxf>
      <font>
        <color rgb="FF9C0006"/>
      </font>
      <fill>
        <patternFill>
          <bgColor rgb="FFFFC7CE"/>
        </patternFill>
      </fill>
    </dxf>
    <dxf>
      <fill>
        <patternFill>
          <bgColor rgb="FFFFFFCC"/>
        </patternFill>
      </fill>
    </dxf>
    <dxf>
      <fill>
        <patternFill>
          <bgColor rgb="FFFFC000"/>
        </patternFill>
      </fill>
    </dxf>
    <dxf>
      <font>
        <color rgb="FF9C0006"/>
      </font>
      <fill>
        <patternFill>
          <bgColor rgb="FFFFC7CE"/>
        </patternFill>
      </fill>
    </dxf>
    <dxf>
      <fill>
        <patternFill>
          <bgColor rgb="FFFFFFCC"/>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ill>
        <patternFill>
          <bgColor rgb="FFFFC000"/>
        </patternFill>
      </fill>
    </dxf>
    <dxf>
      <font>
        <color rgb="FF9C0006"/>
      </font>
      <fill>
        <patternFill>
          <bgColor rgb="FFFFC7CE"/>
        </patternFill>
      </fill>
    </dxf>
    <dxf>
      <fill>
        <patternFill>
          <bgColor rgb="FFFFFFCC"/>
        </patternFill>
      </fill>
    </dxf>
    <dxf>
      <fill>
        <patternFill>
          <bgColor rgb="FFFFC000"/>
        </patternFill>
      </fill>
    </dxf>
    <dxf>
      <font>
        <color rgb="FF9C0006"/>
      </font>
      <fill>
        <patternFill>
          <bgColor rgb="FFFFC7CE"/>
        </patternFill>
      </fill>
    </dxf>
    <dxf>
      <fill>
        <patternFill>
          <bgColor rgb="FFFFFFCC"/>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FFCC"/>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ill>
        <patternFill>
          <bgColor rgb="FFFFFFCC"/>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ill>
        <patternFill>
          <bgColor rgb="FFFFFFCC"/>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ill>
        <patternFill>
          <bgColor rgb="FFFFC000"/>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ill>
        <patternFill>
          <bgColor rgb="FFFFFFCC"/>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ill>
        <patternFill>
          <bgColor rgb="FFFFFFCC"/>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ill>
        <patternFill>
          <bgColor rgb="FFFFFFCC"/>
        </patternFill>
      </fill>
    </dxf>
    <dxf>
      <font>
        <color rgb="FF9C0006"/>
      </font>
      <fill>
        <patternFill>
          <bgColor rgb="FFFFC7CE"/>
        </patternFill>
      </fill>
    </dxf>
    <dxf>
      <fill>
        <patternFill>
          <bgColor rgb="FFFFFFCC"/>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FFCC"/>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ill>
        <patternFill>
          <bgColor rgb="FFFFFFCC"/>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ill>
        <patternFill>
          <bgColor rgb="FFFFFFCC"/>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ill>
        <patternFill>
          <bgColor rgb="FFFFFFCC"/>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ill>
        <patternFill>
          <bgColor rgb="FFFFFFCC"/>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ill>
        <patternFill>
          <bgColor rgb="FFFFFFCC"/>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ill>
        <patternFill>
          <bgColor rgb="FFFFFFCC"/>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ill>
        <patternFill>
          <bgColor rgb="FFFFFFCC"/>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FFCC"/>
        </patternFill>
      </fill>
    </dxf>
    <dxf>
      <fill>
        <patternFill>
          <bgColor rgb="FFFFC000"/>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ill>
        <patternFill>
          <bgColor rgb="FFFFFFCC"/>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ill>
        <patternFill>
          <bgColor rgb="FFFFFFCC"/>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ill>
        <patternFill>
          <bgColor rgb="FFFFFFCC"/>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FFC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2F2F2"/>
      <color rgb="FFFFFF5D"/>
      <color rgb="FFFFFF5B"/>
      <color rgb="FFFFFF47"/>
      <color rgb="FFFFF7F8"/>
      <color rgb="FFFFFFD5"/>
      <color rgb="FFF7F7F7"/>
      <color rgb="FFF5F5F5"/>
      <color rgb="FFFFF3F4"/>
      <color rgb="FFFFEB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externalLink" Target="externalLinks/externalLink3.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externalLink" Target="externalLinks/externalLink6.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externalLink" Target="externalLinks/externalLink7.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6.emf"/><Relationship Id="rId1"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3.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3.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8.emf"/><Relationship Id="rId1" Type="http://schemas.openxmlformats.org/officeDocument/2006/relationships/image" Target="../media/image7.emf"/></Relationships>
</file>

<file path=xl/drawings/_rels/vmlDrawing6.v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9.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0.jpeg"/></Relationships>
</file>

<file path=xl/drawings/_rels/vmlDrawing8.v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3.jpeg"/></Relationships>
</file>

<file path=xl/drawings/_rels/vmlDrawing9.v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3.jpe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1</xdr:col>
      <xdr:colOff>2619375</xdr:colOff>
      <xdr:row>40</xdr:row>
      <xdr:rowOff>35721</xdr:rowOff>
    </xdr:from>
    <xdr:to>
      <xdr:col>1</xdr:col>
      <xdr:colOff>2998562</xdr:colOff>
      <xdr:row>40</xdr:row>
      <xdr:rowOff>263869</xdr:rowOff>
    </xdr:to>
    <xdr:sp macro="" textlink="">
      <xdr:nvSpPr>
        <xdr:cNvPr id="2" name="Rectangle 1">
          <a:extLst>
            <a:ext uri="{FF2B5EF4-FFF2-40B4-BE49-F238E27FC236}">
              <a16:creationId xmlns:a16="http://schemas.microsoft.com/office/drawing/2014/main" id="{91C6470A-2059-4E7D-810D-C4CEC2268E23}"/>
            </a:ext>
          </a:extLst>
        </xdr:cNvPr>
        <xdr:cNvSpPr/>
      </xdr:nvSpPr>
      <xdr:spPr>
        <a:xfrm flipH="1">
          <a:off x="4200525" y="16180596"/>
          <a:ext cx="379187" cy="22814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rtlCol="1" anchor="ctr"/>
        <a:lstStyle/>
        <a:p>
          <a:endParaRPr lang="en-US"/>
        </a:p>
      </xdr:txBody>
    </xdr:sp>
    <xdr:clientData/>
  </xdr:twoCellAnchor>
  <xdr:twoCellAnchor>
    <xdr:from>
      <xdr:col>1</xdr:col>
      <xdr:colOff>2481261</xdr:colOff>
      <xdr:row>38</xdr:row>
      <xdr:rowOff>247649</xdr:rowOff>
    </xdr:from>
    <xdr:to>
      <xdr:col>1</xdr:col>
      <xdr:colOff>2595561</xdr:colOff>
      <xdr:row>41</xdr:row>
      <xdr:rowOff>57149</xdr:rowOff>
    </xdr:to>
    <xdr:pic>
      <xdr:nvPicPr>
        <xdr:cNvPr id="3" name="Straight Connector 4">
          <a:extLst>
            <a:ext uri="{FF2B5EF4-FFF2-40B4-BE49-F238E27FC236}">
              <a16:creationId xmlns:a16="http://schemas.microsoft.com/office/drawing/2014/main" id="{D23B5B4C-22EC-451E-958A-365D419E9C27}"/>
            </a:ext>
          </a:extLst>
        </xdr:cNvPr>
        <xdr:cNvPicPr>
          <a:picLocks noChangeArrowheads="1"/>
        </xdr:cNvPicPr>
      </xdr:nvPicPr>
      <xdr:blipFill>
        <a:blip xmlns:r="http://schemas.openxmlformats.org/officeDocument/2006/relationships" r:embed="rId1"/>
        <a:srcRect/>
        <a:stretch>
          <a:fillRect/>
        </a:stretch>
      </xdr:blipFill>
      <xdr:spPr bwMode="auto">
        <a:xfrm>
          <a:off x="4062411" y="15821024"/>
          <a:ext cx="114300" cy="666750"/>
        </a:xfrm>
        <a:prstGeom prst="rect">
          <a:avLst/>
        </a:prstGeom>
        <a:noFill/>
      </xdr:spPr>
    </xdr:pic>
    <xdr:clientData/>
  </xdr:twoCellAnchor>
  <xdr:twoCellAnchor>
    <xdr:from>
      <xdr:col>1</xdr:col>
      <xdr:colOff>3226591</xdr:colOff>
      <xdr:row>42</xdr:row>
      <xdr:rowOff>392905</xdr:rowOff>
    </xdr:from>
    <xdr:to>
      <xdr:col>1</xdr:col>
      <xdr:colOff>3272310</xdr:colOff>
      <xdr:row>43</xdr:row>
      <xdr:rowOff>273843</xdr:rowOff>
    </xdr:to>
    <xdr:pic>
      <xdr:nvPicPr>
        <xdr:cNvPr id="4" name="Straight Connector 4">
          <a:extLst>
            <a:ext uri="{FF2B5EF4-FFF2-40B4-BE49-F238E27FC236}">
              <a16:creationId xmlns:a16="http://schemas.microsoft.com/office/drawing/2014/main" id="{35F6EACD-3372-4B0B-83FD-288B58065B02}"/>
            </a:ext>
          </a:extLst>
        </xdr:cNvPr>
        <xdr:cNvPicPr>
          <a:picLocks noChangeArrowheads="1"/>
        </xdr:cNvPicPr>
      </xdr:nvPicPr>
      <xdr:blipFill>
        <a:blip xmlns:r="http://schemas.openxmlformats.org/officeDocument/2006/relationships" r:embed="rId1"/>
        <a:srcRect/>
        <a:stretch>
          <a:fillRect/>
        </a:stretch>
      </xdr:blipFill>
      <xdr:spPr bwMode="auto">
        <a:xfrm flipH="1">
          <a:off x="4807741" y="17290255"/>
          <a:ext cx="45719" cy="4633913"/>
        </a:xfrm>
        <a:prstGeom prst="rect">
          <a:avLst/>
        </a:prstGeom>
        <a:noFill/>
      </xdr:spPr>
    </xdr:pic>
    <xdr:clientData/>
  </xdr:twoCellAnchor>
  <xdr:twoCellAnchor>
    <xdr:from>
      <xdr:col>1</xdr:col>
      <xdr:colOff>1535430</xdr:colOff>
      <xdr:row>47</xdr:row>
      <xdr:rowOff>354807</xdr:rowOff>
    </xdr:from>
    <xdr:to>
      <xdr:col>1</xdr:col>
      <xdr:colOff>1581149</xdr:colOff>
      <xdr:row>49</xdr:row>
      <xdr:rowOff>33338</xdr:rowOff>
    </xdr:to>
    <xdr:pic>
      <xdr:nvPicPr>
        <xdr:cNvPr id="5" name="Straight Connector 4">
          <a:extLst>
            <a:ext uri="{FF2B5EF4-FFF2-40B4-BE49-F238E27FC236}">
              <a16:creationId xmlns:a16="http://schemas.microsoft.com/office/drawing/2014/main" id="{AFEF1414-20F2-4FF9-BF37-E2837A57C6CE}"/>
            </a:ext>
          </a:extLst>
        </xdr:cNvPr>
        <xdr:cNvPicPr>
          <a:picLocks noChangeArrowheads="1"/>
        </xdr:cNvPicPr>
      </xdr:nvPicPr>
      <xdr:blipFill>
        <a:blip xmlns:r="http://schemas.openxmlformats.org/officeDocument/2006/relationships" r:embed="rId1"/>
        <a:srcRect/>
        <a:stretch>
          <a:fillRect/>
        </a:stretch>
      </xdr:blipFill>
      <xdr:spPr bwMode="auto">
        <a:xfrm flipH="1">
          <a:off x="3116580" y="19795332"/>
          <a:ext cx="45719" cy="402431"/>
        </a:xfrm>
        <a:prstGeom prst="rect">
          <a:avLst/>
        </a:prstGeom>
        <a:solidFill>
          <a:schemeClr val="bg1">
            <a:lumMod val="75000"/>
          </a:schemeClr>
        </a:solidFill>
      </xdr:spPr>
    </xdr:pic>
    <xdr:clientData/>
  </xdr:twoCellAnchor>
  <xdr:twoCellAnchor>
    <xdr:from>
      <xdr:col>1</xdr:col>
      <xdr:colOff>904875</xdr:colOff>
      <xdr:row>56</xdr:row>
      <xdr:rowOff>345282</xdr:rowOff>
    </xdr:from>
    <xdr:to>
      <xdr:col>1</xdr:col>
      <xdr:colOff>950594</xdr:colOff>
      <xdr:row>58</xdr:row>
      <xdr:rowOff>0</xdr:rowOff>
    </xdr:to>
    <xdr:pic>
      <xdr:nvPicPr>
        <xdr:cNvPr id="6" name="Straight Connector 4">
          <a:extLst>
            <a:ext uri="{FF2B5EF4-FFF2-40B4-BE49-F238E27FC236}">
              <a16:creationId xmlns:a16="http://schemas.microsoft.com/office/drawing/2014/main" id="{630555E1-34BB-4E12-BE7F-917E4907F581}"/>
            </a:ext>
          </a:extLst>
        </xdr:cNvPr>
        <xdr:cNvPicPr>
          <a:picLocks noChangeArrowheads="1"/>
        </xdr:cNvPicPr>
      </xdr:nvPicPr>
      <xdr:blipFill>
        <a:blip xmlns:r="http://schemas.openxmlformats.org/officeDocument/2006/relationships" r:embed="rId1"/>
        <a:srcRect/>
        <a:stretch>
          <a:fillRect/>
        </a:stretch>
      </xdr:blipFill>
      <xdr:spPr bwMode="auto">
        <a:xfrm>
          <a:off x="2486025" y="26700957"/>
          <a:ext cx="45719" cy="378618"/>
        </a:xfrm>
        <a:prstGeom prst="rect">
          <a:avLst/>
        </a:prstGeom>
        <a:solidFill>
          <a:schemeClr val="bg1">
            <a:lumMod val="75000"/>
          </a:schemeClr>
        </a:solidFill>
      </xdr:spPr>
    </xdr:pic>
    <xdr:clientData/>
  </xdr:twoCellAnchor>
  <xdr:twoCellAnchor>
    <xdr:from>
      <xdr:col>1</xdr:col>
      <xdr:colOff>3212307</xdr:colOff>
      <xdr:row>56</xdr:row>
      <xdr:rowOff>354807</xdr:rowOff>
    </xdr:from>
    <xdr:to>
      <xdr:col>1</xdr:col>
      <xdr:colOff>3258026</xdr:colOff>
      <xdr:row>58</xdr:row>
      <xdr:rowOff>9525</xdr:rowOff>
    </xdr:to>
    <xdr:pic>
      <xdr:nvPicPr>
        <xdr:cNvPr id="7" name="Straight Connector 4">
          <a:extLst>
            <a:ext uri="{FF2B5EF4-FFF2-40B4-BE49-F238E27FC236}">
              <a16:creationId xmlns:a16="http://schemas.microsoft.com/office/drawing/2014/main" id="{7EC9C6D6-863F-4523-9788-3BCE06501AD6}"/>
            </a:ext>
          </a:extLst>
        </xdr:cNvPr>
        <xdr:cNvPicPr>
          <a:picLocks noChangeArrowheads="1"/>
        </xdr:cNvPicPr>
      </xdr:nvPicPr>
      <xdr:blipFill>
        <a:blip xmlns:r="http://schemas.openxmlformats.org/officeDocument/2006/relationships" r:embed="rId1"/>
        <a:srcRect/>
        <a:stretch>
          <a:fillRect/>
        </a:stretch>
      </xdr:blipFill>
      <xdr:spPr bwMode="auto">
        <a:xfrm>
          <a:off x="4793457" y="26710482"/>
          <a:ext cx="45719" cy="378618"/>
        </a:xfrm>
        <a:prstGeom prst="rect">
          <a:avLst/>
        </a:prstGeom>
        <a:solidFill>
          <a:schemeClr val="bg1">
            <a:lumMod val="75000"/>
          </a:schemeClr>
        </a:solidFill>
      </xdr:spPr>
    </xdr:pic>
    <xdr:clientData/>
  </xdr:twoCellAnchor>
  <xdr:twoCellAnchor>
    <xdr:from>
      <xdr:col>2</xdr:col>
      <xdr:colOff>745330</xdr:colOff>
      <xdr:row>56</xdr:row>
      <xdr:rowOff>328613</xdr:rowOff>
    </xdr:from>
    <xdr:to>
      <xdr:col>2</xdr:col>
      <xdr:colOff>791049</xdr:colOff>
      <xdr:row>57</xdr:row>
      <xdr:rowOff>340518</xdr:rowOff>
    </xdr:to>
    <xdr:pic>
      <xdr:nvPicPr>
        <xdr:cNvPr id="8" name="Straight Connector 4">
          <a:extLst>
            <a:ext uri="{FF2B5EF4-FFF2-40B4-BE49-F238E27FC236}">
              <a16:creationId xmlns:a16="http://schemas.microsoft.com/office/drawing/2014/main" id="{D62C3030-82AF-4465-A289-21536D98869D}"/>
            </a:ext>
          </a:extLst>
        </xdr:cNvPr>
        <xdr:cNvPicPr>
          <a:picLocks noChangeArrowheads="1"/>
        </xdr:cNvPicPr>
      </xdr:nvPicPr>
      <xdr:blipFill>
        <a:blip xmlns:r="http://schemas.openxmlformats.org/officeDocument/2006/relationships" r:embed="rId1"/>
        <a:srcRect/>
        <a:stretch>
          <a:fillRect/>
        </a:stretch>
      </xdr:blipFill>
      <xdr:spPr bwMode="auto">
        <a:xfrm>
          <a:off x="7250905" y="26684288"/>
          <a:ext cx="45719" cy="373855"/>
        </a:xfrm>
        <a:prstGeom prst="rect">
          <a:avLst/>
        </a:prstGeom>
        <a:solidFill>
          <a:schemeClr val="bg1">
            <a:lumMod val="75000"/>
          </a:schemeClr>
        </a:solidFill>
      </xdr:spPr>
    </xdr:pic>
    <xdr:clientData/>
  </xdr:twoCellAnchor>
  <xdr:twoCellAnchor>
    <xdr:from>
      <xdr:col>2</xdr:col>
      <xdr:colOff>361949</xdr:colOff>
      <xdr:row>47</xdr:row>
      <xdr:rowOff>357186</xdr:rowOff>
    </xdr:from>
    <xdr:to>
      <xdr:col>2</xdr:col>
      <xdr:colOff>407668</xdr:colOff>
      <xdr:row>49</xdr:row>
      <xdr:rowOff>35718</xdr:rowOff>
    </xdr:to>
    <xdr:pic>
      <xdr:nvPicPr>
        <xdr:cNvPr id="9" name="Straight Connector 4">
          <a:extLst>
            <a:ext uri="{FF2B5EF4-FFF2-40B4-BE49-F238E27FC236}">
              <a16:creationId xmlns:a16="http://schemas.microsoft.com/office/drawing/2014/main" id="{CD8F0459-50B3-4C16-930C-B7F69517333B}"/>
            </a:ext>
          </a:extLst>
        </xdr:cNvPr>
        <xdr:cNvPicPr>
          <a:picLocks noChangeArrowheads="1"/>
        </xdr:cNvPicPr>
      </xdr:nvPicPr>
      <xdr:blipFill>
        <a:blip xmlns:r="http://schemas.openxmlformats.org/officeDocument/2006/relationships" r:embed="rId1"/>
        <a:srcRect/>
        <a:stretch>
          <a:fillRect/>
        </a:stretch>
      </xdr:blipFill>
      <xdr:spPr bwMode="auto">
        <a:xfrm>
          <a:off x="6924674" y="19797711"/>
          <a:ext cx="45719" cy="402432"/>
        </a:xfrm>
        <a:prstGeom prst="rect">
          <a:avLst/>
        </a:prstGeom>
        <a:solidFill>
          <a:schemeClr val="bg1">
            <a:lumMod val="75000"/>
          </a:schemeClr>
        </a:solid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660555</xdr:colOff>
      <xdr:row>86</xdr:row>
      <xdr:rowOff>100853</xdr:rowOff>
    </xdr:from>
    <xdr:to>
      <xdr:col>3</xdr:col>
      <xdr:colOff>1042148</xdr:colOff>
      <xdr:row>86</xdr:row>
      <xdr:rowOff>710538</xdr:rowOff>
    </xdr:to>
    <xdr:pic>
      <xdr:nvPicPr>
        <xdr:cNvPr id="3" name="Picture 2">
          <a:extLst>
            <a:ext uri="{FF2B5EF4-FFF2-40B4-BE49-F238E27FC236}">
              <a16:creationId xmlns:a16="http://schemas.microsoft.com/office/drawing/2014/main" id="{C35980C1-BD04-44F7-9160-EF182D0DE0E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12331323" y="266655177"/>
          <a:ext cx="8259328" cy="609685"/>
        </a:xfrm>
        <a:prstGeom prst="rect">
          <a:avLst/>
        </a:prstGeom>
      </xdr:spPr>
    </xdr:pic>
    <xdr:clientData/>
  </xdr:twoCellAnchor>
  <xdr:twoCellAnchor editAs="oneCell">
    <xdr:from>
      <xdr:col>0</xdr:col>
      <xdr:colOff>504265</xdr:colOff>
      <xdr:row>114</xdr:row>
      <xdr:rowOff>78443</xdr:rowOff>
    </xdr:from>
    <xdr:to>
      <xdr:col>3</xdr:col>
      <xdr:colOff>885858</xdr:colOff>
      <xdr:row>115</xdr:row>
      <xdr:rowOff>71804</xdr:rowOff>
    </xdr:to>
    <xdr:pic>
      <xdr:nvPicPr>
        <xdr:cNvPr id="5" name="Picture 4">
          <a:extLst>
            <a:ext uri="{FF2B5EF4-FFF2-40B4-BE49-F238E27FC236}">
              <a16:creationId xmlns:a16="http://schemas.microsoft.com/office/drawing/2014/main" id="{7AB0D61C-27D8-4F8D-9283-BD463B12CA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12487613" y="280830619"/>
          <a:ext cx="8259328" cy="6096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45311</xdr:colOff>
          <xdr:row>352</xdr:row>
          <xdr:rowOff>45139</xdr:rowOff>
        </xdr:from>
        <xdr:to>
          <xdr:col>2</xdr:col>
          <xdr:colOff>2420180</xdr:colOff>
          <xdr:row>393</xdr:row>
          <xdr:rowOff>80256</xdr:rowOff>
        </xdr:to>
        <xdr:pic>
          <xdr:nvPicPr>
            <xdr:cNvPr id="2" name="Picture 1">
              <a:extLst>
                <a:ext uri="{FF2B5EF4-FFF2-40B4-BE49-F238E27FC236}">
                  <a16:creationId xmlns:a16="http://schemas.microsoft.com/office/drawing/2014/main" id="{8DA60EB0-51AF-4469-9769-3568BC47C092}"/>
                </a:ext>
              </a:extLst>
            </xdr:cNvPr>
            <xdr:cNvPicPr>
              <a:picLocks noChangeAspect="1" noChangeArrowheads="1"/>
              <a:extLst>
                <a:ext uri="{84589F7E-364E-4C9E-8A38-B11213B215E9}">
                  <a14:cameraTool cellRange="'جدول السداد'!$A$1:$O$35" spid="_x0000_s115197"/>
                </a:ext>
              </a:extLst>
            </xdr:cNvPicPr>
          </xdr:nvPicPr>
          <xdr:blipFill>
            <a:blip xmlns:r="http://schemas.openxmlformats.org/officeDocument/2006/relationships" r:embed="rId1"/>
            <a:srcRect/>
            <a:stretch>
              <a:fillRect/>
            </a:stretch>
          </xdr:blipFill>
          <xdr:spPr bwMode="auto">
            <a:xfrm>
              <a:off x="10041246717" y="124516182"/>
              <a:ext cx="7674081" cy="818520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oneCellAnchor>
        <xdr:from>
          <xdr:col>0</xdr:col>
          <xdr:colOff>347454</xdr:colOff>
          <xdr:row>621</xdr:row>
          <xdr:rowOff>119680</xdr:rowOff>
        </xdr:from>
        <xdr:ext cx="7612132" cy="8255581"/>
        <xdr:pic>
          <xdr:nvPicPr>
            <xdr:cNvPr id="5" name="Picture 4">
              <a:extLst>
                <a:ext uri="{FF2B5EF4-FFF2-40B4-BE49-F238E27FC236}">
                  <a16:creationId xmlns:a16="http://schemas.microsoft.com/office/drawing/2014/main" id="{0046CD58-1858-49A9-BE11-D4DFF4135B6A}"/>
                </a:ext>
              </a:extLst>
            </xdr:cNvPr>
            <xdr:cNvPicPr>
              <a:picLocks noChangeAspect="1" noChangeArrowheads="1"/>
              <a:extLst>
                <a:ext uri="{84589F7E-364E-4C9E-8A38-B11213B215E9}">
                  <a14:cameraTool cellRange="'جدول السداد'!$A$1:$O$35" spid="_x0000_s115198"/>
                </a:ext>
              </a:extLst>
            </xdr:cNvPicPr>
          </xdr:nvPicPr>
          <xdr:blipFill>
            <a:blip xmlns:r="http://schemas.openxmlformats.org/officeDocument/2006/relationships" r:embed="rId2"/>
            <a:srcRect/>
            <a:stretch>
              <a:fillRect/>
            </a:stretch>
          </xdr:blipFill>
          <xdr:spPr bwMode="auto">
            <a:xfrm>
              <a:off x="10041006523" y="205047984"/>
              <a:ext cx="7612132" cy="8255581"/>
            </a:xfrm>
            <a:prstGeom prst="rect">
              <a:avLst/>
            </a:prstGeom>
            <a:noFill/>
            <a:extLst>
              <a:ext uri="{909E8E84-426E-40DD-AFC4-6F175D3DCCD1}">
                <a14:hiddenFill>
                  <a:solidFill>
                    <a:srgbClr val="FFFFFF"/>
                  </a:solidFill>
                </a14:hiddenFill>
              </a:ext>
            </a:extLst>
          </xdr:spPr>
        </xdr:pic>
        <xdr:clientData/>
      </xdr:one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xdr:col>
      <xdr:colOff>762000</xdr:colOff>
      <xdr:row>79</xdr:row>
      <xdr:rowOff>9525</xdr:rowOff>
    </xdr:from>
    <xdr:to>
      <xdr:col>1</xdr:col>
      <xdr:colOff>762000</xdr:colOff>
      <xdr:row>81</xdr:row>
      <xdr:rowOff>0</xdr:rowOff>
    </xdr:to>
    <xdr:cxnSp macro="">
      <xdr:nvCxnSpPr>
        <xdr:cNvPr id="2" name="Straight Connector 1">
          <a:extLst>
            <a:ext uri="{FF2B5EF4-FFF2-40B4-BE49-F238E27FC236}">
              <a16:creationId xmlns:a16="http://schemas.microsoft.com/office/drawing/2014/main" id="{A40972A7-39F4-409F-BA4B-AACF8C731786}"/>
            </a:ext>
          </a:extLst>
        </xdr:cNvPr>
        <xdr:cNvCxnSpPr/>
      </xdr:nvCxnSpPr>
      <xdr:spPr>
        <a:xfrm>
          <a:off x="9990648675" y="75333225"/>
          <a:ext cx="0" cy="371475"/>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1533525</xdr:colOff>
      <xdr:row>79</xdr:row>
      <xdr:rowOff>19050</xdr:rowOff>
    </xdr:from>
    <xdr:to>
      <xdr:col>2</xdr:col>
      <xdr:colOff>1533525</xdr:colOff>
      <xdr:row>81</xdr:row>
      <xdr:rowOff>9525</xdr:rowOff>
    </xdr:to>
    <xdr:cxnSp macro="">
      <xdr:nvCxnSpPr>
        <xdr:cNvPr id="3" name="Straight Connector 2">
          <a:extLst>
            <a:ext uri="{FF2B5EF4-FFF2-40B4-BE49-F238E27FC236}">
              <a16:creationId xmlns:a16="http://schemas.microsoft.com/office/drawing/2014/main" id="{1CC3E6F0-CAED-4708-B5F1-BCBE704BC858}"/>
            </a:ext>
          </a:extLst>
        </xdr:cNvPr>
        <xdr:cNvCxnSpPr/>
      </xdr:nvCxnSpPr>
      <xdr:spPr>
        <a:xfrm>
          <a:off x="9987762600" y="75342750"/>
          <a:ext cx="0" cy="371475"/>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alijara-my.sharepoint.com/personal/waleed_kharoub_palijara_com/Documents/Desktop/waleed%20ijara/&#1575;&#1604;&#1606;&#1605;&#1608;&#1584;&#1580;/Proposals/2020/Jul/&#1593;&#1575;&#1605;&#1585;%20&#1587;&#1601;&#1610;&#1575;&#160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bk%2010-11-015\user\Desktop\Ghasoub\Business%20Proposals\2015\Machines\Nov%202015\Racktech\Racktech%20-%20Financia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palijara-my.sharepoint.com/personal/waleed_kharoub_palijara_com/Documents/Desktop/waleed%20ijara/&#1575;&#1604;&#1606;&#1605;&#1608;&#1584;&#1580;/&#1575;&#1606;&#1587;%20&#1575;&#1604;&#1580;&#1593;&#1575;&#1601;&#1585;&#157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yazan.nazzal\Desktop\&#1578;&#1608;&#1589;&#1610;&#1577;%20&#1575;&#1574;&#1578;&#1605;&#1575;&#1606;&#1610;&#1577;\&#1575;&#1601;&#1585;&#1575;&#1583;\&#1586;&#1610;&#1575;&#1583;%20&#1575;&#1604;&#1581;&#1608;&#1585;&#1575;&#1606;&#161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ghasoub.aqel\Documents\Test\&#1610;&#1581;&#1610;&#1609;%20&#1593;&#1604;&#1575;%20Tes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bk%2010-11-015\user\Desktop\Ghasoub\Business%20Proposals\2016\Machines\Jan%202016\&#1588;&#1585;&#1603;&#1577;%20&#1608;&#1575;&#1574;&#1604;%20&#1582;&#1604;&#1575;&#1610;&#1604;&#1607;\Proposal%20-%20&#1588;&#1585;&#1603;&#1577;%20&#1608;&#1575;&#1574;&#1604;%20&#1582;&#1604;&#1575;&#1610;&#1604;&#1607;%20(Repaired).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waleed.kharoub\OneDrive%20-%20Palijara\Desktop\waleed%20ijara\RISK%20FOR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التوصية"/>
      <sheetName val="كعاكيش"/>
      <sheetName val="ملخص old"/>
      <sheetName val="ملخص old1"/>
      <sheetName val="ملخص للعرض"/>
      <sheetName val="التحليل الائتماني"/>
      <sheetName val="الأصل"/>
      <sheetName val="الحاسبة"/>
      <sheetName val="الحساب البنكي"/>
      <sheetName val="الاستعلام"/>
      <sheetName val="تحليل الائتمان"/>
      <sheetName val="بيانات للادخال"/>
      <sheetName val="مدخلات العقود"/>
      <sheetName val="عرض سعر + سند قبض"/>
      <sheetName val="جدول السداد"/>
      <sheetName val="تفقيط"/>
      <sheetName val="وكالة شراء العين"/>
      <sheetName val="تدقيق التوقيع"/>
      <sheetName val="عقود الزبون"/>
      <sheetName val="عقود الزبون والكفلاء"/>
      <sheetName val="الكمبيالات"/>
      <sheetName val="عقد التوريد"/>
      <sheetName val="rows height"/>
      <sheetName val="التسليم والقبول"/>
      <sheetName val="طلب الشيكات"/>
      <sheetName val="مرابحة الاسلامي العربي"/>
      <sheetName val="تفويض الترخيص"/>
      <sheetName val="تعهد بالدفع"/>
      <sheetName val="الحوالة"/>
      <sheetName val="معاير الائتمان"/>
      <sheetName val="تاريخ التعامل مع شركة الاجارة"/>
    </sheetNames>
    <sheetDataSet>
      <sheetData sheetId="0">
        <row r="2">
          <cell r="B2" t="str">
            <v>عامر فرسان محمد سفيان</v>
          </cell>
        </row>
        <row r="281">
          <cell r="B281" t="str">
            <v>دولار</v>
          </cell>
        </row>
        <row r="282">
          <cell r="B282">
            <v>33823.529411764699</v>
          </cell>
          <cell r="D282">
            <v>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
          <cell r="A2" t="str">
            <v>دولار</v>
          </cell>
          <cell r="C2">
            <v>1.1399999999999999</v>
          </cell>
          <cell r="E2">
            <v>0.16</v>
          </cell>
        </row>
        <row r="3">
          <cell r="A3" t="str">
            <v>شيكل</v>
          </cell>
          <cell r="C3">
            <v>1.4</v>
          </cell>
        </row>
        <row r="4">
          <cell r="A4" t="str">
            <v>يورو</v>
          </cell>
          <cell r="C4">
            <v>3.4</v>
          </cell>
        </row>
      </sheetData>
      <sheetData sheetId="12">
        <row r="6">
          <cell r="F6" t="str">
            <v>لا يوجد</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quiry Checklist"/>
      <sheetName val="Financials"/>
      <sheetName val="Assets to be Leased"/>
      <sheetName val="IRR"/>
      <sheetName val="LEASE FINANCIALS"/>
      <sheetName val="Summary Tables"/>
      <sheetName val="Credit Facilities"/>
      <sheetName val="Bank acct"/>
      <sheetName val="Projected Finns"/>
      <sheetName val="MV of Equipment"/>
      <sheetName val="Channels of Distribution"/>
      <sheetName val="Empolyee Details"/>
      <sheetName val="Sector's risk exposure"/>
      <sheetName val="Financial Ratios"/>
      <sheetName val="Data"/>
      <sheetName val="بيانات للادخال"/>
    </sheetNames>
    <sheetDataSet>
      <sheetData sheetId="0"/>
      <sheetData sheetId="1">
        <row r="3">
          <cell r="O3">
            <v>0</v>
          </cell>
        </row>
      </sheetData>
      <sheetData sheetId="2">
        <row r="6">
          <cell r="M6" t="str">
            <v>Katana</v>
          </cell>
        </row>
      </sheetData>
      <sheetData sheetId="3">
        <row r="10">
          <cell r="C10">
            <v>62</v>
          </cell>
        </row>
        <row r="36">
          <cell r="C36" t="str">
            <v>Jan</v>
          </cell>
        </row>
        <row r="37">
          <cell r="C37" t="str">
            <v>Feb</v>
          </cell>
        </row>
        <row r="38">
          <cell r="C38" t="str">
            <v>Mar</v>
          </cell>
        </row>
        <row r="39">
          <cell r="C39" t="str">
            <v>Apr</v>
          </cell>
        </row>
        <row r="40">
          <cell r="C40" t="str">
            <v>May</v>
          </cell>
        </row>
        <row r="41">
          <cell r="C41" t="str">
            <v>Jun</v>
          </cell>
        </row>
        <row r="42">
          <cell r="C42" t="str">
            <v>Jul</v>
          </cell>
        </row>
        <row r="43">
          <cell r="C43" t="str">
            <v>Aug</v>
          </cell>
        </row>
        <row r="44">
          <cell r="C44" t="str">
            <v>Sep</v>
          </cell>
        </row>
        <row r="45">
          <cell r="C45" t="str">
            <v>Oct</v>
          </cell>
        </row>
        <row r="46">
          <cell r="C46" t="str">
            <v>Nov</v>
          </cell>
        </row>
        <row r="47">
          <cell r="C47" t="str">
            <v>Dec</v>
          </cell>
        </row>
      </sheetData>
      <sheetData sheetId="4"/>
      <sheetData sheetId="5"/>
      <sheetData sheetId="6">
        <row r="5">
          <cell r="J5">
            <v>13518</v>
          </cell>
        </row>
      </sheetData>
      <sheetData sheetId="7"/>
      <sheetData sheetId="8"/>
      <sheetData sheetId="9"/>
      <sheetData sheetId="10"/>
      <sheetData sheetId="11"/>
      <sheetData sheetId="12"/>
      <sheetData sheetId="13"/>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التوصية"/>
      <sheetName val="كعاكيش"/>
      <sheetName val="ملخص old"/>
      <sheetName val="ملخص old1"/>
      <sheetName val="ملخص للعرض"/>
      <sheetName val="التحليل الائتماني"/>
      <sheetName val="الأصل"/>
      <sheetName val="الحاسبة"/>
      <sheetName val="الحساب البنكي"/>
      <sheetName val="الاستعلام"/>
      <sheetName val="تحليل الائتمان"/>
      <sheetName val="بيانات للادخال"/>
      <sheetName val="مدخلات العقود"/>
      <sheetName val="عرض سعر + سند قبض"/>
      <sheetName val="جدول السداد"/>
      <sheetName val="تفقيط"/>
      <sheetName val="وكالة شراء العين"/>
      <sheetName val="عقود الزبون"/>
      <sheetName val="عقود الزبون والكفلاء"/>
      <sheetName val="الكمبيالات"/>
      <sheetName val="عقد التوريد"/>
      <sheetName val="rows height"/>
      <sheetName val="التسليم والقبول"/>
      <sheetName val="طلب الشيكات"/>
      <sheetName val="مرابحة الاسلامي العربي"/>
      <sheetName val="تفويض الترخيص"/>
      <sheetName val="تعهد بالدفع"/>
      <sheetName val="الحوالة"/>
      <sheetName val="معاير الائتمان"/>
      <sheetName val="تاريخ التعامل مع شركة الاجارة"/>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بيانات للادخال"/>
      <sheetName val="تقرير الائتمان"/>
      <sheetName val="الأصل"/>
      <sheetName val="IRR"/>
      <sheetName val="حاسبة التأمين"/>
      <sheetName val="الحساب البنكي"/>
      <sheetName val="الاستعلام"/>
      <sheetName val="تحليل الائتمان"/>
      <sheetName val="العقود"/>
      <sheetName val="معاير الائتمان"/>
      <sheetName val="تاريخ التعامل مع شركة الاجارة"/>
    </sheetNames>
    <sheetDataSet>
      <sheetData sheetId="0" refreshError="1"/>
      <sheetData sheetId="1"/>
      <sheetData sheetId="2"/>
      <sheetData sheetId="3"/>
      <sheetData sheetId="4"/>
      <sheetData sheetId="5"/>
      <sheetData sheetId="6"/>
      <sheetData sheetId="7"/>
      <sheetData sheetId="8"/>
      <sheetData sheetId="9"/>
      <sheetData sheetId="1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بيانات للادخال"/>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C Decision"/>
      <sheetName val="Proposal Sh#1"/>
      <sheetName val="Proposal Sh#2"/>
      <sheetName val="Proposal Sh#3"/>
      <sheetName val="Exposure with PIC"/>
      <sheetName val="Assets to be Leased"/>
      <sheetName val="IRR"/>
      <sheetName val="Credit Facilities"/>
      <sheetName val="Bank Acct"/>
      <sheetName val="Bank Acct (beneficiary)"/>
      <sheetName val="Financials"/>
    </sheetNames>
    <sheetDataSet>
      <sheetData sheetId="0"/>
      <sheetData sheetId="1"/>
      <sheetData sheetId="2"/>
      <sheetData sheetId="3"/>
      <sheetData sheetId="4"/>
      <sheetData sheetId="5">
        <row r="9">
          <cell r="B9">
            <v>0.16</v>
          </cell>
          <cell r="L9">
            <v>452879.85136251035</v>
          </cell>
        </row>
      </sheetData>
      <sheetData sheetId="6">
        <row r="3">
          <cell r="AY3">
            <v>7147.1404244426094</v>
          </cell>
        </row>
        <row r="14">
          <cell r="AP14">
            <v>246453.1180842279</v>
          </cell>
        </row>
        <row r="15">
          <cell r="I15">
            <v>5360.6017714500404</v>
          </cell>
          <cell r="AL15">
            <v>7119.7567446554722</v>
          </cell>
          <cell r="AO15">
            <v>2227.9240268327794</v>
          </cell>
          <cell r="AP15">
            <v>241561.28536640521</v>
          </cell>
        </row>
        <row r="16">
          <cell r="AL16">
            <v>7119.7567446554722</v>
          </cell>
          <cell r="AO16">
            <v>2183.7021004396261</v>
          </cell>
          <cell r="AP16">
            <v>236625.23072218936</v>
          </cell>
        </row>
        <row r="17">
          <cell r="AL17">
            <v>7119.7567446554722</v>
          </cell>
          <cell r="AO17">
            <v>2139.0804100139053</v>
          </cell>
          <cell r="AP17">
            <v>231644.5543875478</v>
          </cell>
        </row>
        <row r="18">
          <cell r="AL18">
            <v>7119.7567446554722</v>
          </cell>
          <cell r="AO18">
            <v>2094.0553417084884</v>
          </cell>
          <cell r="AP18">
            <v>226618.85298460082</v>
          </cell>
        </row>
        <row r="19">
          <cell r="AL19">
            <v>7119.7567446554722</v>
          </cell>
          <cell r="AO19">
            <v>2048.6232490072462</v>
          </cell>
          <cell r="AP19">
            <v>221547.7194889526</v>
          </cell>
        </row>
        <row r="20">
          <cell r="AL20">
            <v>7119.7567446554722</v>
          </cell>
          <cell r="AO20">
            <v>2002.7804524297246</v>
          </cell>
          <cell r="AP20">
            <v>216430.74319672686</v>
          </cell>
        </row>
        <row r="21">
          <cell r="AL21">
            <v>7119.7567446554722</v>
          </cell>
          <cell r="AO21">
            <v>1956.5232392331473</v>
          </cell>
          <cell r="AP21">
            <v>211267.50969130453</v>
          </cell>
        </row>
        <row r="22">
          <cell r="AL22">
            <v>7119.7567446554722</v>
          </cell>
          <cell r="AO22">
            <v>1909.8478631117257</v>
          </cell>
          <cell r="AP22">
            <v>206057.60080976077</v>
          </cell>
        </row>
        <row r="23">
          <cell r="AL23">
            <v>0</v>
          </cell>
          <cell r="AO23">
            <v>1862.7505438932528</v>
          </cell>
          <cell r="AP23">
            <v>207920.35135365403</v>
          </cell>
        </row>
        <row r="24">
          <cell r="AL24">
            <v>0</v>
          </cell>
          <cell r="AO24">
            <v>1879.5897168970096</v>
          </cell>
          <cell r="AP24">
            <v>209799.94107055102</v>
          </cell>
        </row>
        <row r="25">
          <cell r="AL25">
            <v>0</v>
          </cell>
          <cell r="AO25">
            <v>1896.5811151938308</v>
          </cell>
          <cell r="AP25">
            <v>211696.52218574486</v>
          </cell>
        </row>
        <row r="26">
          <cell r="AL26">
            <v>7119.7567446554722</v>
          </cell>
          <cell r="AO26">
            <v>1913.7261148928553</v>
          </cell>
          <cell r="AP26">
            <v>206490.49155598224</v>
          </cell>
        </row>
        <row r="27">
          <cell r="AL27">
            <v>7119.7567446554722</v>
          </cell>
          <cell r="AO27">
            <v>1866.6638548791207</v>
          </cell>
          <cell r="AP27">
            <v>201237.39866620587</v>
          </cell>
        </row>
        <row r="28">
          <cell r="AL28">
            <v>7119.7567446554722</v>
          </cell>
          <cell r="AO28">
            <v>1819.1761543570383</v>
          </cell>
          <cell r="AP28">
            <v>195936.81807590745</v>
          </cell>
        </row>
        <row r="29">
          <cell r="AL29">
            <v>7119.7567446554722</v>
          </cell>
          <cell r="AO29">
            <v>1771.2591673654053</v>
          </cell>
          <cell r="AP29">
            <v>190588.32049861737</v>
          </cell>
        </row>
        <row r="30">
          <cell r="AL30">
            <v>7119.7567446554722</v>
          </cell>
          <cell r="AO30">
            <v>1722.9090131757187</v>
          </cell>
          <cell r="AP30">
            <v>185191.4727671376</v>
          </cell>
        </row>
        <row r="31">
          <cell r="AL31">
            <v>7119.7567446554722</v>
          </cell>
          <cell r="AO31">
            <v>1674.1217759778817</v>
          </cell>
          <cell r="AP31">
            <v>179745.83779846001</v>
          </cell>
        </row>
        <row r="32">
          <cell r="AL32">
            <v>7119.7567446554722</v>
          </cell>
          <cell r="AO32">
            <v>1624.8935045630678</v>
          </cell>
          <cell r="AP32">
            <v>174250.9745583676</v>
          </cell>
        </row>
        <row r="33">
          <cell r="AL33">
            <v>7119.7567446554722</v>
          </cell>
          <cell r="AO33">
            <v>1575.2202120037171</v>
          </cell>
          <cell r="AP33">
            <v>168706.43802571585</v>
          </cell>
        </row>
        <row r="34">
          <cell r="AL34">
            <v>7119.7567446554722</v>
          </cell>
          <cell r="AO34">
            <v>1525.097875330641</v>
          </cell>
          <cell r="AP34">
            <v>163111.77915639101</v>
          </cell>
        </row>
        <row r="35">
          <cell r="AL35">
            <v>0</v>
          </cell>
          <cell r="AO35">
            <v>1474.5224352072094</v>
          </cell>
          <cell r="AP35">
            <v>164586.30159159823</v>
          </cell>
        </row>
        <row r="36">
          <cell r="AL36">
            <v>0</v>
          </cell>
          <cell r="AO36">
            <v>1487.852045264646</v>
          </cell>
          <cell r="AP36">
            <v>166074.15363686287</v>
          </cell>
        </row>
        <row r="37">
          <cell r="AL37">
            <v>0</v>
          </cell>
          <cell r="AO37">
            <v>1501.3021543392836</v>
          </cell>
          <cell r="AP37">
            <v>167575.45579120217</v>
          </cell>
        </row>
        <row r="38">
          <cell r="AL38">
            <v>7119.7567446554722</v>
          </cell>
          <cell r="AO38">
            <v>1514.873851736292</v>
          </cell>
          <cell r="AP38">
            <v>161970.57289828299</v>
          </cell>
        </row>
        <row r="39">
          <cell r="AL39">
            <v>7119.7567446554722</v>
          </cell>
          <cell r="AO39">
            <v>1464.2059869440479</v>
          </cell>
          <cell r="AP39">
            <v>156315.02214057156</v>
          </cell>
        </row>
        <row r="40">
          <cell r="AL40">
            <v>7119.7567446554722</v>
          </cell>
          <cell r="AO40">
            <v>1413.080087154168</v>
          </cell>
          <cell r="AP40">
            <v>150608.34548307024</v>
          </cell>
        </row>
        <row r="41">
          <cell r="AL41">
            <v>7119.7567446554722</v>
          </cell>
          <cell r="AO41">
            <v>1361.492011752875</v>
          </cell>
          <cell r="AP41">
            <v>144850.08075016763</v>
          </cell>
        </row>
        <row r="42">
          <cell r="AL42">
            <v>7119.7567446554722</v>
          </cell>
          <cell r="AO42">
            <v>1309.4375826954463</v>
          </cell>
          <cell r="AP42">
            <v>139039.76158820762</v>
          </cell>
        </row>
        <row r="43">
          <cell r="AL43">
            <v>7119.7567446554722</v>
          </cell>
          <cell r="AO43">
            <v>1256.9125841678417</v>
          </cell>
          <cell r="AP43">
            <v>133176.91742771998</v>
          </cell>
        </row>
        <row r="44">
          <cell r="AL44">
            <v>7119.7567446554722</v>
          </cell>
          <cell r="AO44">
            <v>1203.9127622452697</v>
          </cell>
          <cell r="AP44">
            <v>127261.07344530977</v>
          </cell>
        </row>
        <row r="45">
          <cell r="AL45">
            <v>7119.7567446554722</v>
          </cell>
          <cell r="AO45">
            <v>1150.433824547669</v>
          </cell>
          <cell r="AP45">
            <v>121291.75052520196</v>
          </cell>
        </row>
        <row r="46">
          <cell r="AL46">
            <v>7119.7567446554722</v>
          </cell>
          <cell r="AO46">
            <v>1096.4714398920746</v>
          </cell>
          <cell r="AP46">
            <v>115268.46522043856</v>
          </cell>
        </row>
        <row r="47">
          <cell r="AL47">
            <v>0</v>
          </cell>
          <cell r="AO47">
            <v>1042.0212379418401</v>
          </cell>
          <cell r="AP47">
            <v>116310.4864583804</v>
          </cell>
        </row>
        <row r="48">
          <cell r="AL48">
            <v>0</v>
          </cell>
          <cell r="AO48">
            <v>1051.4410585167507</v>
          </cell>
          <cell r="AP48">
            <v>117361.92751689715</v>
          </cell>
        </row>
        <row r="49">
          <cell r="AL49">
            <v>0</v>
          </cell>
          <cell r="AO49">
            <v>1060.9460338048596</v>
          </cell>
          <cell r="AP49">
            <v>118422.87355070202</v>
          </cell>
        </row>
        <row r="50">
          <cell r="AL50">
            <v>7119.7567446554722</v>
          </cell>
          <cell r="AO50">
            <v>1070.5369336005722</v>
          </cell>
          <cell r="AP50">
            <v>112373.65373964712</v>
          </cell>
        </row>
        <row r="51">
          <cell r="AL51">
            <v>7119.7567446554722</v>
          </cell>
          <cell r="AO51">
            <v>1015.85228499314</v>
          </cell>
          <cell r="AP51">
            <v>106269.7492799848</v>
          </cell>
        </row>
        <row r="52">
          <cell r="AL52">
            <v>7119.7567446554722</v>
          </cell>
          <cell r="AO52">
            <v>960.67328986058146</v>
          </cell>
          <cell r="AP52">
            <v>100110.66582518991</v>
          </cell>
        </row>
        <row r="53">
          <cell r="AL53">
            <v>7119.7567446554722</v>
          </cell>
          <cell r="AO53">
            <v>904.99547933470228</v>
          </cell>
          <cell r="AP53">
            <v>93895.90455986913</v>
          </cell>
        </row>
        <row r="54">
          <cell r="AL54">
            <v>7119.7567446554722</v>
          </cell>
          <cell r="AO54">
            <v>848.81434414895955</v>
          </cell>
          <cell r="AP54">
            <v>87624.962159362622</v>
          </cell>
        </row>
        <row r="55">
          <cell r="AL55">
            <v>7119.7567446554722</v>
          </cell>
          <cell r="AO55">
            <v>792.12533427326343</v>
          </cell>
          <cell r="AP55">
            <v>81297.330748980414</v>
          </cell>
        </row>
        <row r="56">
          <cell r="AL56">
            <v>7119.7567446554722</v>
          </cell>
          <cell r="AO56">
            <v>734.92385854547672</v>
          </cell>
          <cell r="AP56">
            <v>74912.497862870412</v>
          </cell>
        </row>
        <row r="57">
          <cell r="AL57">
            <v>7119.7567446554722</v>
          </cell>
          <cell r="AO57">
            <v>677.2052842995829</v>
          </cell>
          <cell r="AP57">
            <v>68469.946402514528</v>
          </cell>
        </row>
        <row r="58">
          <cell r="AL58">
            <v>7119.7567446554722</v>
          </cell>
          <cell r="AO58">
            <v>618.96493699049336</v>
          </cell>
          <cell r="AP58">
            <v>61969.154594849548</v>
          </cell>
        </row>
        <row r="59">
          <cell r="AL59">
            <v>0</v>
          </cell>
          <cell r="AO59">
            <v>560.19809981546234</v>
          </cell>
          <cell r="AP59">
            <v>62529.352694665009</v>
          </cell>
        </row>
        <row r="60">
          <cell r="AL60">
            <v>0</v>
          </cell>
          <cell r="AO60">
            <v>565.26226299613836</v>
          </cell>
          <cell r="AP60">
            <v>63094.61495766115</v>
          </cell>
        </row>
        <row r="61">
          <cell r="AL61">
            <v>0</v>
          </cell>
          <cell r="AO61">
            <v>570.37220596208851</v>
          </cell>
          <cell r="AP61">
            <v>63664.987163623235</v>
          </cell>
        </row>
        <row r="62">
          <cell r="AL62">
            <v>7119.7567446554722</v>
          </cell>
          <cell r="AO62">
            <v>575.52834256031258</v>
          </cell>
          <cell r="AP62">
            <v>57120.758761528079</v>
          </cell>
        </row>
        <row r="63">
          <cell r="AL63">
            <v>7119.7567446554722</v>
          </cell>
          <cell r="AO63">
            <v>516.36884071490931</v>
          </cell>
          <cell r="AP63">
            <v>50517.370857587513</v>
          </cell>
        </row>
        <row r="64">
          <cell r="AL64">
            <v>7119.7567446554722</v>
          </cell>
          <cell r="AO64">
            <v>456.67453989190972</v>
          </cell>
          <cell r="AP64">
            <v>43854.288652823947</v>
          </cell>
        </row>
        <row r="65">
          <cell r="AL65">
            <v>7119.7567446554722</v>
          </cell>
          <cell r="AO65">
            <v>396.44060553494495</v>
          </cell>
          <cell r="AP65">
            <v>37130.972513703418</v>
          </cell>
        </row>
        <row r="66">
          <cell r="AL66">
            <v>7119.7567446554722</v>
          </cell>
          <cell r="AO66">
            <v>335.66215938349478</v>
          </cell>
          <cell r="AP66">
            <v>30346.877928431441</v>
          </cell>
        </row>
        <row r="67">
          <cell r="AL67">
            <v>7119.7567446554722</v>
          </cell>
          <cell r="AO67">
            <v>274.33427907780487</v>
          </cell>
          <cell r="AP67">
            <v>23501.455462853773</v>
          </cell>
        </row>
        <row r="68">
          <cell r="AL68">
            <v>7119.7567446554722</v>
          </cell>
          <cell r="AO68">
            <v>212.45199776023128</v>
          </cell>
          <cell r="AP68">
            <v>16594.150715958531</v>
          </cell>
        </row>
        <row r="69">
          <cell r="AL69">
            <v>7119.7567446554722</v>
          </cell>
          <cell r="AO69">
            <v>150.01030367298225</v>
          </cell>
          <cell r="AP69">
            <v>9624.4042749760411</v>
          </cell>
        </row>
        <row r="70">
          <cell r="AL70">
            <v>7119.7567446554722</v>
          </cell>
          <cell r="AO70">
            <v>87.004139752222827</v>
          </cell>
          <cell r="AP70">
            <v>2591.6516700727916</v>
          </cell>
        </row>
        <row r="71">
          <cell r="AL71">
            <v>0</v>
          </cell>
          <cell r="AO71">
            <v>23.428403218510493</v>
          </cell>
          <cell r="AP71">
            <v>2615.0800732913021</v>
          </cell>
        </row>
        <row r="72">
          <cell r="AL72">
            <v>0</v>
          </cell>
          <cell r="AO72">
            <v>23.640194827586456</v>
          </cell>
          <cell r="AP72">
            <v>2638.7202681188887</v>
          </cell>
        </row>
        <row r="73">
          <cell r="AL73">
            <v>0</v>
          </cell>
          <cell r="AO73">
            <v>23.853901022358102</v>
          </cell>
          <cell r="AP73">
            <v>2662.5741691412468</v>
          </cell>
        </row>
        <row r="74">
          <cell r="AL74">
            <v>7119.7567446554722</v>
          </cell>
          <cell r="AO74">
            <v>24.069539110585655</v>
          </cell>
          <cell r="AP74">
            <v>-4433.1130364036399</v>
          </cell>
        </row>
        <row r="75">
          <cell r="AL75">
            <v>0</v>
          </cell>
          <cell r="AO75">
            <v>-40.075123107567435</v>
          </cell>
          <cell r="AP75">
            <v>-4473.1881595112072</v>
          </cell>
        </row>
        <row r="76">
          <cell r="AL76">
            <v>0</v>
          </cell>
          <cell r="AO76">
            <v>-40.437400243047286</v>
          </cell>
          <cell r="AP76">
            <v>-4513.6255597542549</v>
          </cell>
        </row>
        <row r="77">
          <cell r="AL77">
            <v>0</v>
          </cell>
          <cell r="AO77">
            <v>-40.802952345956164</v>
          </cell>
          <cell r="AP77">
            <v>-4554.4285121002113</v>
          </cell>
        </row>
        <row r="78">
          <cell r="AL78">
            <v>0</v>
          </cell>
          <cell r="AO78">
            <v>-41.171809021838023</v>
          </cell>
          <cell r="AP78">
            <v>-4595.6003211220495</v>
          </cell>
        </row>
        <row r="79">
          <cell r="AL79">
            <v>0</v>
          </cell>
          <cell r="AO79">
            <v>-41.544000143869503</v>
          </cell>
          <cell r="AP79">
            <v>-4637.1443212659187</v>
          </cell>
        </row>
        <row r="80">
          <cell r="AL80">
            <v>0</v>
          </cell>
          <cell r="AO80">
            <v>-41.919555855279235</v>
          </cell>
          <cell r="AP80">
            <v>-4679.0638771211979</v>
          </cell>
        </row>
        <row r="81">
          <cell r="AL81">
            <v>0</v>
          </cell>
          <cell r="AO81">
            <v>-42.298506571789211</v>
          </cell>
          <cell r="AP81">
            <v>-4721.3623836929874</v>
          </cell>
        </row>
        <row r="82">
          <cell r="AL82">
            <v>0</v>
          </cell>
          <cell r="AO82">
            <v>-42.680882984078011</v>
          </cell>
          <cell r="AP82">
            <v>-4764.0432666770657</v>
          </cell>
        </row>
        <row r="83">
          <cell r="AL83">
            <v>0</v>
          </cell>
          <cell r="AO83">
            <v>-43.06671606026643</v>
          </cell>
          <cell r="AP83">
            <v>-4807.1099827373318</v>
          </cell>
        </row>
        <row r="84">
          <cell r="AL84">
            <v>0</v>
          </cell>
        </row>
        <row r="85">
          <cell r="AL85">
            <v>0</v>
          </cell>
        </row>
      </sheetData>
      <sheetData sheetId="7"/>
      <sheetData sheetId="8"/>
      <sheetData sheetId="9"/>
      <sheetData sheetId="10">
        <row r="61">
          <cell r="CF61">
            <v>273073.95895693841</v>
          </cell>
          <cell r="CG61">
            <v>291081.91959772742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نمــــوذج الدراسة"/>
      <sheetName val="درجات المخاطر"/>
      <sheetName val="الاحتمالية"/>
      <sheetName val="Sheet2"/>
    </sheetNames>
    <sheetDataSet>
      <sheetData sheetId="0"/>
      <sheetData sheetId="1"/>
      <sheetData sheetId="2">
        <row r="15">
          <cell r="E15">
            <v>0.05</v>
          </cell>
        </row>
      </sheetData>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N12"/>
  <sheetViews>
    <sheetView rightToLeft="1" zoomScale="58" zoomScaleNormal="58" workbookViewId="0">
      <selection activeCell="A2" sqref="A2:N2"/>
    </sheetView>
  </sheetViews>
  <sheetFormatPr defaultRowHeight="15"/>
  <cols>
    <col min="1" max="1" width="33.140625" bestFit="1" customWidth="1"/>
    <col min="2" max="2" width="25.28515625" bestFit="1" customWidth="1"/>
    <col min="3" max="3" width="15.28515625" bestFit="1" customWidth="1"/>
    <col min="4" max="4" width="27.140625" bestFit="1" customWidth="1"/>
    <col min="5" max="5" width="15.7109375" bestFit="1" customWidth="1"/>
    <col min="6" max="6" width="34" bestFit="1" customWidth="1"/>
    <col min="7" max="7" width="19.28515625" bestFit="1" customWidth="1"/>
    <col min="8" max="8" width="22.140625" bestFit="1" customWidth="1"/>
    <col min="9" max="9" width="29.42578125" bestFit="1" customWidth="1"/>
    <col min="10" max="10" width="21.5703125" bestFit="1" customWidth="1"/>
    <col min="12" max="12" width="16.28515625" customWidth="1"/>
    <col min="13" max="13" width="24.7109375" bestFit="1" customWidth="1"/>
    <col min="14" max="14" width="26.7109375" customWidth="1"/>
  </cols>
  <sheetData>
    <row r="1" spans="1:14" ht="35.25">
      <c r="A1" s="1269" t="s">
        <v>1697</v>
      </c>
      <c r="B1" s="1270"/>
      <c r="C1" s="1270"/>
      <c r="D1" s="1270"/>
      <c r="E1" s="1270"/>
      <c r="F1" s="1270"/>
      <c r="G1" s="1270"/>
      <c r="H1" s="1270"/>
      <c r="I1" s="1270"/>
      <c r="J1" s="1270"/>
      <c r="K1" s="1270"/>
      <c r="L1" s="1270"/>
      <c r="M1" s="1270"/>
      <c r="N1" s="1271"/>
    </row>
    <row r="2" spans="1:14" ht="28.5" thickBot="1">
      <c r="A2" s="1272" t="str">
        <f>" اسم المستأجر:  " &amp;التوصية!B2</f>
        <v xml:space="preserve"> اسم المستأجر:  </v>
      </c>
      <c r="B2" s="1273"/>
      <c r="C2" s="1273"/>
      <c r="D2" s="1273"/>
      <c r="E2" s="1273"/>
      <c r="F2" s="1273"/>
      <c r="G2" s="1273"/>
      <c r="H2" s="1273"/>
      <c r="I2" s="1273"/>
      <c r="J2" s="1273"/>
      <c r="K2" s="1273"/>
      <c r="L2" s="1273"/>
      <c r="M2" s="1273"/>
      <c r="N2" s="1274"/>
    </row>
    <row r="3" spans="1:14" ht="90">
      <c r="A3" s="1226" t="s">
        <v>1696</v>
      </c>
      <c r="B3" s="1236" t="s">
        <v>1695</v>
      </c>
      <c r="C3" s="1232" t="s">
        <v>1694</v>
      </c>
      <c r="D3" s="1232" t="s">
        <v>1693</v>
      </c>
      <c r="E3" s="1232" t="s">
        <v>1692</v>
      </c>
      <c r="F3" s="1232" t="s">
        <v>1691</v>
      </c>
      <c r="G3" s="1232" t="s">
        <v>1690</v>
      </c>
      <c r="H3" s="1232" t="s">
        <v>1689</v>
      </c>
      <c r="I3" s="1232" t="s">
        <v>1688</v>
      </c>
      <c r="J3" s="1232" t="s">
        <v>1687</v>
      </c>
      <c r="K3" s="1232" t="s">
        <v>1686</v>
      </c>
      <c r="L3" s="1232" t="s">
        <v>1685</v>
      </c>
      <c r="M3" s="1232" t="s">
        <v>1684</v>
      </c>
      <c r="N3" s="1235" t="s">
        <v>1683</v>
      </c>
    </row>
    <row r="4" spans="1:14" ht="30.75" thickBot="1">
      <c r="A4" s="1222"/>
      <c r="B4" s="1234"/>
      <c r="C4" s="1231"/>
      <c r="D4" s="1231"/>
      <c r="E4" s="1231"/>
      <c r="F4" s="1231"/>
      <c r="G4" s="1231"/>
      <c r="H4" s="1231"/>
      <c r="I4" s="1231"/>
      <c r="J4" s="1231"/>
      <c r="K4" s="1230"/>
      <c r="L4" s="1230"/>
      <c r="M4" s="1220"/>
      <c r="N4" s="1233"/>
    </row>
    <row r="5" spans="1:14" ht="60">
      <c r="A5" s="1226" t="s">
        <v>1682</v>
      </c>
      <c r="B5" s="1232" t="s">
        <v>1681</v>
      </c>
      <c r="C5" s="1232" t="s">
        <v>1680</v>
      </c>
      <c r="D5" s="1232" t="s">
        <v>1679</v>
      </c>
      <c r="E5" s="1232" t="s">
        <v>1678</v>
      </c>
      <c r="F5" s="1232" t="s">
        <v>1677</v>
      </c>
      <c r="G5" s="1232" t="s">
        <v>1676</v>
      </c>
      <c r="H5" s="1232" t="s">
        <v>1675</v>
      </c>
      <c r="I5" s="1232" t="s">
        <v>1674</v>
      </c>
      <c r="J5" s="1232" t="s">
        <v>1673</v>
      </c>
      <c r="K5" s="1224"/>
      <c r="L5" s="1224"/>
      <c r="M5" s="1224"/>
      <c r="N5" s="1223"/>
    </row>
    <row r="6" spans="1:14" ht="30.75" thickBot="1">
      <c r="A6" s="1222"/>
      <c r="B6" s="1231"/>
      <c r="C6" s="1231"/>
      <c r="D6" s="1231"/>
      <c r="E6" s="1230"/>
      <c r="F6" s="1230"/>
      <c r="G6" s="1230"/>
      <c r="H6" s="1230"/>
      <c r="I6" s="1230"/>
      <c r="J6" s="1230"/>
      <c r="K6" s="1229"/>
      <c r="L6" s="1229"/>
      <c r="M6" s="1228"/>
      <c r="N6" s="1227"/>
    </row>
    <row r="7" spans="1:14" ht="60">
      <c r="A7" s="1226" t="s">
        <v>1672</v>
      </c>
      <c r="B7" s="1225" t="s">
        <v>1671</v>
      </c>
      <c r="C7" s="1225" t="s">
        <v>1670</v>
      </c>
      <c r="D7" s="1225" t="s">
        <v>1669</v>
      </c>
      <c r="E7" s="1224"/>
      <c r="F7" s="1224"/>
      <c r="G7" s="1224"/>
      <c r="H7" s="1224"/>
      <c r="I7" s="1224"/>
      <c r="J7" s="1224"/>
      <c r="K7" s="1224"/>
      <c r="L7" s="1224"/>
      <c r="M7" s="1224"/>
      <c r="N7" s="1223"/>
    </row>
    <row r="8" spans="1:14" ht="30.75" thickBot="1">
      <c r="A8" s="1222"/>
      <c r="B8" s="1221"/>
      <c r="C8" s="1220"/>
      <c r="D8" s="1220"/>
      <c r="E8" s="1219"/>
      <c r="F8" s="1219"/>
      <c r="G8" s="1219"/>
      <c r="H8" s="1219"/>
      <c r="I8" s="1219"/>
      <c r="J8" s="1219"/>
      <c r="K8" s="1219"/>
      <c r="L8" s="1219"/>
      <c r="M8" s="1219"/>
      <c r="N8" s="1218"/>
    </row>
    <row r="9" spans="1:14" ht="90" customHeight="1" thickBot="1">
      <c r="A9" s="1217" t="s">
        <v>1668</v>
      </c>
      <c r="B9" s="1264" t="str">
        <f>'مدخلات العقود'!J2</f>
        <v xml:space="preserve"> -  -  - </v>
      </c>
      <c r="C9" s="1265"/>
      <c r="D9" s="1265"/>
      <c r="E9" s="1265"/>
      <c r="F9" s="1265"/>
      <c r="G9" s="1265"/>
      <c r="H9" s="1265"/>
      <c r="I9" s="1265"/>
      <c r="J9" s="1265"/>
      <c r="K9" s="1265"/>
      <c r="L9" s="1265"/>
      <c r="M9" s="1265"/>
      <c r="N9" s="1266"/>
    </row>
    <row r="10" spans="1:14" ht="30.75" thickBot="1">
      <c r="A10" s="1267" t="s">
        <v>1667</v>
      </c>
      <c r="B10" s="1216" t="s">
        <v>1666</v>
      </c>
      <c r="C10" s="1275">
        <f>التوصية!B24</f>
        <v>0</v>
      </c>
      <c r="D10" s="1276"/>
      <c r="E10" s="1276"/>
      <c r="F10" s="1276"/>
      <c r="G10" s="1276"/>
      <c r="H10" s="1276"/>
      <c r="I10" s="1276"/>
      <c r="J10" s="1276"/>
      <c r="K10" s="1276"/>
      <c r="L10" s="1276"/>
      <c r="M10" s="1276"/>
      <c r="N10" s="1277"/>
    </row>
    <row r="11" spans="1:14" ht="30.75" thickBot="1">
      <c r="A11" s="1268"/>
      <c r="B11" s="1215" t="s">
        <v>1665</v>
      </c>
      <c r="C11" s="1278">
        <f>التوصية!B23</f>
        <v>0</v>
      </c>
      <c r="D11" s="1279"/>
      <c r="E11" s="1279"/>
      <c r="F11" s="1279"/>
      <c r="G11" s="1279"/>
      <c r="H11" s="1279"/>
      <c r="I11" s="1279"/>
      <c r="J11" s="1279"/>
      <c r="K11" s="1279"/>
      <c r="L11" s="1279"/>
      <c r="M11" s="1279"/>
      <c r="N11" s="1280"/>
    </row>
    <row r="12" spans="1:14" ht="30.75" thickBot="1">
      <c r="A12" s="1214" t="s">
        <v>1664</v>
      </c>
      <c r="B12" s="1264"/>
      <c r="C12" s="1265"/>
      <c r="D12" s="1265"/>
      <c r="E12" s="1265"/>
      <c r="F12" s="1265"/>
      <c r="G12" s="1265"/>
      <c r="H12" s="1265"/>
      <c r="I12" s="1265"/>
      <c r="J12" s="1265"/>
      <c r="K12" s="1265"/>
      <c r="L12" s="1265"/>
      <c r="M12" s="1265"/>
      <c r="N12" s="1266"/>
    </row>
  </sheetData>
  <mergeCells count="7">
    <mergeCell ref="B12:N12"/>
    <mergeCell ref="A10:A11"/>
    <mergeCell ref="A1:N1"/>
    <mergeCell ref="A2:N2"/>
    <mergeCell ref="B9:N9"/>
    <mergeCell ref="C10:N10"/>
    <mergeCell ref="C11:N11"/>
  </mergeCells>
  <pageMargins left="0.7" right="0.7" top="0.75" bottom="0.75" header="0.3" footer="0.3"/>
  <pageSetup scale="56"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W426"/>
  <sheetViews>
    <sheetView showGridLines="0" rightToLeft="1" tabSelected="1" view="pageBreakPreview" topLeftCell="A298" zoomScale="82" zoomScaleNormal="100" zoomScaleSheetLayoutView="82" workbookViewId="0">
      <selection activeCell="E58" sqref="E58"/>
    </sheetView>
  </sheetViews>
  <sheetFormatPr defaultColWidth="9.140625" defaultRowHeight="15" outlineLevelRow="1"/>
  <cols>
    <col min="1" max="1" width="24.140625" style="648" bestFit="1" customWidth="1"/>
    <col min="2" max="2" width="31.7109375" style="648" customWidth="1"/>
    <col min="3" max="3" width="24.7109375" style="648" bestFit="1" customWidth="1"/>
    <col min="4" max="4" width="36" style="648" customWidth="1"/>
    <col min="5" max="16384" width="9.140625" style="648"/>
  </cols>
  <sheetData>
    <row r="1" spans="1:10" ht="15.75" thickBot="1">
      <c r="A1" s="744" t="s">
        <v>582</v>
      </c>
      <c r="B1" s="736" t="str">
        <f>"A ?"&amp;" - "&amp;MONTH(D1)&amp;" - "&amp;YEAR(D1)</f>
        <v>A ? - 1 - 1900</v>
      </c>
      <c r="C1" s="743" t="s">
        <v>581</v>
      </c>
      <c r="D1" s="737"/>
    </row>
    <row r="2" spans="1:10" ht="15.75">
      <c r="A2" s="651" t="s">
        <v>445</v>
      </c>
      <c r="B2" s="652"/>
      <c r="C2" s="651" t="s">
        <v>458</v>
      </c>
      <c r="D2" s="652" t="s">
        <v>447</v>
      </c>
      <c r="H2" s="648" t="s">
        <v>1698</v>
      </c>
    </row>
    <row r="3" spans="1:10" ht="15.75">
      <c r="A3" s="651" t="s">
        <v>625</v>
      </c>
      <c r="B3" s="652" t="s">
        <v>1621</v>
      </c>
      <c r="C3" s="651" t="s">
        <v>459</v>
      </c>
      <c r="D3" s="652"/>
    </row>
    <row r="5" spans="1:10" ht="23.25">
      <c r="A5" s="653" t="s">
        <v>385</v>
      </c>
      <c r="B5" s="362"/>
      <c r="C5" s="362"/>
      <c r="D5" s="362"/>
    </row>
    <row r="6" spans="1:10" ht="17.45" customHeight="1">
      <c r="A6" s="651" t="s">
        <v>300</v>
      </c>
      <c r="B6" s="1187"/>
      <c r="C6" s="651" t="s">
        <v>303</v>
      </c>
      <c r="D6" s="655">
        <f>B2</f>
        <v>0</v>
      </c>
    </row>
    <row r="7" spans="1:10">
      <c r="A7" s="632" t="s">
        <v>583</v>
      </c>
      <c r="B7" s="745"/>
      <c r="C7" s="632" t="s">
        <v>304</v>
      </c>
      <c r="D7" s="655"/>
      <c r="G7" s="648">
        <v>4829</v>
      </c>
    </row>
    <row r="8" spans="1:10">
      <c r="A8" s="651" t="s">
        <v>292</v>
      </c>
      <c r="B8" s="937"/>
      <c r="C8" s="651" t="s">
        <v>295</v>
      </c>
      <c r="D8" s="738">
        <f ca="1">(TODAY()-B8)/365</f>
        <v>121.6</v>
      </c>
      <c r="G8" s="648">
        <v>5142</v>
      </c>
    </row>
    <row r="9" spans="1:10">
      <c r="A9" s="632" t="s">
        <v>565</v>
      </c>
      <c r="B9" s="655" t="s">
        <v>566</v>
      </c>
      <c r="C9" s="632" t="s">
        <v>568</v>
      </c>
      <c r="D9" s="655"/>
      <c r="G9" s="648">
        <v>4908</v>
      </c>
    </row>
    <row r="10" spans="1:10">
      <c r="A10" s="632" t="s">
        <v>301</v>
      </c>
      <c r="B10" s="655"/>
      <c r="C10" s="632" t="s">
        <v>305</v>
      </c>
      <c r="D10" s="655"/>
      <c r="G10" s="648">
        <v>3327</v>
      </c>
    </row>
    <row r="11" spans="1:10" hidden="1">
      <c r="A11" s="632" t="s">
        <v>302</v>
      </c>
      <c r="B11" s="655"/>
      <c r="C11" s="632" t="s">
        <v>306</v>
      </c>
      <c r="D11" s="655"/>
    </row>
    <row r="12" spans="1:10">
      <c r="A12" s="632" t="s">
        <v>294</v>
      </c>
      <c r="B12" s="687"/>
      <c r="C12" s="632" t="s">
        <v>294</v>
      </c>
      <c r="D12" s="687" t="s">
        <v>53</v>
      </c>
      <c r="G12" s="648">
        <v>4729</v>
      </c>
    </row>
    <row r="13" spans="1:10">
      <c r="A13" s="632" t="s">
        <v>511</v>
      </c>
      <c r="B13" s="655" t="s">
        <v>544</v>
      </c>
      <c r="C13" s="632" t="s">
        <v>512</v>
      </c>
      <c r="D13" s="655" t="s">
        <v>111</v>
      </c>
      <c r="G13" s="648">
        <v>3106</v>
      </c>
      <c r="J13" s="648">
        <f>23317.85/6.53</f>
        <v>3570.8805513016841</v>
      </c>
    </row>
    <row r="14" spans="1:10">
      <c r="A14" s="632" t="s">
        <v>375</v>
      </c>
      <c r="B14" s="655" t="s">
        <v>111</v>
      </c>
      <c r="C14" s="632" t="s">
        <v>376</v>
      </c>
      <c r="D14" s="655" t="s">
        <v>53</v>
      </c>
    </row>
    <row r="15" spans="1:10" ht="30.95" hidden="1" customHeight="1">
      <c r="A15" s="688" t="s">
        <v>406</v>
      </c>
      <c r="B15" s="1296" t="s">
        <v>1546</v>
      </c>
      <c r="C15" s="1296"/>
      <c r="D15" s="1296"/>
    </row>
    <row r="16" spans="1:10" ht="30.95" hidden="1" customHeight="1">
      <c r="A16" s="689" t="s">
        <v>407</v>
      </c>
      <c r="B16" s="1296" t="s">
        <v>1546</v>
      </c>
      <c r="C16" s="1296"/>
      <c r="D16" s="1296"/>
    </row>
    <row r="17" spans="1:5" ht="30.95" hidden="1" customHeight="1">
      <c r="A17" s="689" t="s">
        <v>408</v>
      </c>
      <c r="B17" s="1296" t="s">
        <v>1546</v>
      </c>
      <c r="C17" s="1296"/>
      <c r="D17" s="1296"/>
    </row>
    <row r="18" spans="1:5" ht="30.95" hidden="1" customHeight="1">
      <c r="A18" s="689" t="s">
        <v>409</v>
      </c>
      <c r="B18" s="1296" t="s">
        <v>1546</v>
      </c>
      <c r="C18" s="1296"/>
      <c r="D18" s="1296"/>
    </row>
    <row r="19" spans="1:5" ht="30.95" hidden="1" customHeight="1">
      <c r="A19" s="690" t="s">
        <v>410</v>
      </c>
      <c r="B19" s="1296" t="s">
        <v>1546</v>
      </c>
      <c r="C19" s="1296"/>
      <c r="D19" s="1296"/>
      <c r="E19" s="719">
        <f>IF($B$279='بيانات للادخال'!$A$2,IF(1450/usdrate&gt;E22,E22,IF(1450/usdrate&lt;E22,1450/usdrate,IF($B$279='بيانات للادخال'!$A$3,IF(1450&gt;E22,E22,IF(1450&lt;E22,1450,0)),0))),0)</f>
        <v>0</v>
      </c>
    </row>
    <row r="20" spans="1:5" outlineLevel="1">
      <c r="A20" s="1291" t="s">
        <v>214</v>
      </c>
      <c r="B20" s="1291"/>
      <c r="C20" s="1291"/>
      <c r="D20" s="1291"/>
    </row>
    <row r="21" spans="1:5" outlineLevel="1">
      <c r="A21" s="677" t="s">
        <v>283</v>
      </c>
      <c r="B21" s="691"/>
      <c r="C21" s="677" t="s">
        <v>284</v>
      </c>
      <c r="D21" s="692"/>
      <c r="E21" s="650">
        <v>0.5</v>
      </c>
    </row>
    <row r="22" spans="1:5" outlineLevel="1">
      <c r="A22" s="683" t="s">
        <v>533</v>
      </c>
      <c r="B22" s="686"/>
      <c r="C22" s="679" t="s">
        <v>1617</v>
      </c>
      <c r="D22" s="1019">
        <f ca="1">IFERROR((TODAY()-D21)/365,"-")</f>
        <v>121.6</v>
      </c>
      <c r="E22" s="649">
        <f>D23*$E$21</f>
        <v>0</v>
      </c>
    </row>
    <row r="23" spans="1:5" outlineLevel="1">
      <c r="A23" s="677" t="s">
        <v>285</v>
      </c>
      <c r="B23" s="691"/>
      <c r="C23" s="683" t="str">
        <f>IF(FC=USD,"الدخل الشهري (دولار):",IF(FC=ILS,"الدخل الشهري (شيكل):",IF(FC=EUR,"الدخل الشهري (يورو):")))</f>
        <v>الدخل الشهري (دولار):</v>
      </c>
      <c r="D23" s="682"/>
      <c r="E23" s="649">
        <f>IF($B$279='بيانات للادخال'!$A$2,1450/usdrate,1450)</f>
        <v>439.39393939393943</v>
      </c>
    </row>
    <row r="24" spans="1:5" outlineLevel="1">
      <c r="A24" s="681" t="s">
        <v>286</v>
      </c>
      <c r="B24" s="686"/>
      <c r="C24" s="683" t="s">
        <v>460</v>
      </c>
      <c r="D24" s="686" t="s">
        <v>110</v>
      </c>
      <c r="E24" s="720">
        <f>IF(D24='بيانات للادخال'!$M$2,التوصية!D23,SMALL(E22:E23,1))</f>
        <v>0</v>
      </c>
    </row>
    <row r="25" spans="1:5" outlineLevel="1">
      <c r="A25" s="1290"/>
      <c r="B25" s="1290"/>
      <c r="C25" s="1290"/>
      <c r="D25" s="1290"/>
    </row>
    <row r="26" spans="1:5" hidden="1" outlineLevel="1">
      <c r="A26" s="1291" t="s">
        <v>215</v>
      </c>
      <c r="B26" s="1291"/>
      <c r="C26" s="1291"/>
      <c r="D26" s="1291"/>
    </row>
    <row r="27" spans="1:5" hidden="1" outlineLevel="1">
      <c r="A27" s="677" t="s">
        <v>283</v>
      </c>
      <c r="B27" s="691"/>
      <c r="C27" s="677" t="s">
        <v>284</v>
      </c>
      <c r="D27" s="692"/>
    </row>
    <row r="28" spans="1:5" hidden="1" outlineLevel="1">
      <c r="A28" s="683" t="s">
        <v>533</v>
      </c>
      <c r="B28" s="686"/>
      <c r="C28" s="679" t="s">
        <v>1617</v>
      </c>
      <c r="D28" s="1019">
        <f ca="1">IFERROR((TODAY()-D27)/365,"-")</f>
        <v>121.6</v>
      </c>
      <c r="E28" s="649">
        <f>D29*$E$21</f>
        <v>0</v>
      </c>
    </row>
    <row r="29" spans="1:5" hidden="1" outlineLevel="1">
      <c r="A29" s="677" t="s">
        <v>285</v>
      </c>
      <c r="B29" s="691"/>
      <c r="C29" s="683" t="str">
        <f>IF(FC=USD,"الدخل الشهري (دولار):",IF(FC=ILS,"الدخل الشهري (شيكل):",IF(FC=EUR,"الدخل الشهري (يورو):")))</f>
        <v>الدخل الشهري (دولار):</v>
      </c>
      <c r="D29" s="1180"/>
      <c r="E29" s="649">
        <f>IF($B$279='بيانات للادخال'!$A$2,1450/usdrate,1450)</f>
        <v>439.39393939393943</v>
      </c>
    </row>
    <row r="30" spans="1:5" hidden="1" outlineLevel="1">
      <c r="A30" s="681" t="s">
        <v>286</v>
      </c>
      <c r="B30" s="686"/>
      <c r="C30" s="683" t="s">
        <v>460</v>
      </c>
      <c r="D30" s="686" t="s">
        <v>110</v>
      </c>
      <c r="E30" s="720">
        <f>IF(D30='بيانات للادخال'!$M$2,التوصية!D29,SMALL(E28:E29,1))</f>
        <v>0</v>
      </c>
    </row>
    <row r="31" spans="1:5" hidden="1" outlineLevel="1">
      <c r="A31" s="1290"/>
      <c r="B31" s="1290"/>
      <c r="C31" s="1290"/>
      <c r="D31" s="1290"/>
      <c r="E31" s="651"/>
    </row>
    <row r="32" spans="1:5" hidden="1" outlineLevel="1">
      <c r="A32" s="1291" t="s">
        <v>216</v>
      </c>
      <c r="B32" s="1291"/>
      <c r="C32" s="1291"/>
      <c r="D32" s="1291"/>
    </row>
    <row r="33" spans="1:5" hidden="1" outlineLevel="1">
      <c r="A33" s="677" t="s">
        <v>283</v>
      </c>
      <c r="B33" s="691"/>
      <c r="C33" s="677" t="s">
        <v>284</v>
      </c>
      <c r="D33" s="692"/>
    </row>
    <row r="34" spans="1:5" hidden="1" outlineLevel="1">
      <c r="A34" s="683" t="s">
        <v>533</v>
      </c>
      <c r="B34" s="686"/>
      <c r="C34" s="679" t="s">
        <v>1617</v>
      </c>
      <c r="D34" s="1019">
        <f ca="1">IFERROR((TODAY()-D33)/365,"-")</f>
        <v>121.6</v>
      </c>
      <c r="E34" s="649">
        <f>D35*$E$21</f>
        <v>0</v>
      </c>
    </row>
    <row r="35" spans="1:5" hidden="1" outlineLevel="1">
      <c r="A35" s="677" t="s">
        <v>285</v>
      </c>
      <c r="B35" s="691"/>
      <c r="C35" s="683" t="str">
        <f>IF(FC=USD,"الدخل الشهري (دولار):",IF(FC=ILS,"الدخل الشهري (شيكل):",IF(FC=EUR,"الدخل الشهري (يورو):")))</f>
        <v>الدخل الشهري (دولار):</v>
      </c>
      <c r="D35" s="682"/>
      <c r="E35" s="649">
        <f>IF($B$279='بيانات للادخال'!$A$2,1450/usdrate,1450)</f>
        <v>439.39393939393943</v>
      </c>
    </row>
    <row r="36" spans="1:5" hidden="1" outlineLevel="1">
      <c r="A36" s="681" t="s">
        <v>286</v>
      </c>
      <c r="B36" s="686"/>
      <c r="C36" s="683" t="s">
        <v>460</v>
      </c>
      <c r="D36" s="686"/>
      <c r="E36" s="720">
        <f>IF(D36='بيانات للادخال'!$M$2,التوصية!D35,SMALL(E34:E35,1))</f>
        <v>0</v>
      </c>
    </row>
    <row r="37" spans="1:5" hidden="1" outlineLevel="1">
      <c r="A37" s="657" t="s">
        <v>287</v>
      </c>
      <c r="B37" s="1292"/>
      <c r="C37" s="1292"/>
      <c r="D37" s="1292"/>
    </row>
    <row r="38" spans="1:5" hidden="1" outlineLevel="1">
      <c r="A38" s="1291" t="s">
        <v>217</v>
      </c>
      <c r="B38" s="1291"/>
      <c r="C38" s="1291"/>
      <c r="D38" s="1291"/>
    </row>
    <row r="39" spans="1:5" hidden="1" outlineLevel="1">
      <c r="A39" s="677" t="s">
        <v>283</v>
      </c>
      <c r="B39" s="691"/>
      <c r="C39" s="677" t="s">
        <v>284</v>
      </c>
      <c r="D39" s="692"/>
    </row>
    <row r="40" spans="1:5" hidden="1" outlineLevel="1">
      <c r="A40" s="683" t="s">
        <v>533</v>
      </c>
      <c r="B40" s="686"/>
      <c r="C40" s="679" t="s">
        <v>1617</v>
      </c>
      <c r="D40" s="1019">
        <f ca="1">IFERROR((TODAY()-D39)/365,"-")</f>
        <v>121.6</v>
      </c>
      <c r="E40" s="649">
        <f>D41*$E$21</f>
        <v>0</v>
      </c>
    </row>
    <row r="41" spans="1:5" hidden="1" outlineLevel="1">
      <c r="A41" s="677" t="s">
        <v>285</v>
      </c>
      <c r="B41" s="691"/>
      <c r="C41" s="683" t="str">
        <f>IF(FC=USD,"الدخل الشهري (دولار):",IF(FC=ILS,"الدخل الشهري (شيكل):",IF(FC=EUR,"الدخل الشهري (يورو):")))</f>
        <v>الدخل الشهري (دولار):</v>
      </c>
      <c r="D41" s="682"/>
      <c r="E41" s="649">
        <f>IF($B$279='بيانات للادخال'!$A$2,1450/usdrate,1450)</f>
        <v>439.39393939393943</v>
      </c>
    </row>
    <row r="42" spans="1:5" hidden="1" outlineLevel="1">
      <c r="A42" s="681" t="s">
        <v>286</v>
      </c>
      <c r="B42" s="686"/>
      <c r="C42" s="683" t="s">
        <v>460</v>
      </c>
      <c r="D42" s="686"/>
      <c r="E42" s="720">
        <f>IF(D42='بيانات للادخال'!$M$2,التوصية!D41,SMALL(E40:E41,1))</f>
        <v>0</v>
      </c>
    </row>
    <row r="43" spans="1:5" hidden="1" outlineLevel="1">
      <c r="A43" s="657" t="s">
        <v>287</v>
      </c>
      <c r="B43" s="1292"/>
      <c r="C43" s="1292"/>
      <c r="D43" s="1292"/>
    </row>
    <row r="44" spans="1:5" hidden="1" outlineLevel="1">
      <c r="A44" s="1291" t="s">
        <v>210</v>
      </c>
      <c r="B44" s="1291"/>
      <c r="C44" s="1291"/>
      <c r="D44" s="1291"/>
    </row>
    <row r="45" spans="1:5" hidden="1" outlineLevel="1">
      <c r="A45" s="693" t="s">
        <v>288</v>
      </c>
      <c r="B45" s="655"/>
      <c r="C45" s="694" t="s">
        <v>289</v>
      </c>
      <c r="D45" s="655"/>
    </row>
    <row r="46" spans="1:5">
      <c r="A46" s="1297" t="s">
        <v>3</v>
      </c>
      <c r="B46" s="1297"/>
      <c r="C46" s="1297"/>
      <c r="D46" s="1297"/>
    </row>
    <row r="47" spans="1:5" ht="23.25">
      <c r="A47" s="653" t="s">
        <v>924</v>
      </c>
      <c r="B47" s="362"/>
      <c r="C47" s="362"/>
      <c r="D47" s="362"/>
    </row>
    <row r="48" spans="1:5" hidden="1">
      <c r="A48" s="362"/>
      <c r="B48" s="362"/>
      <c r="C48" s="362"/>
      <c r="D48" s="362"/>
    </row>
    <row r="49" spans="1:5" ht="18.75">
      <c r="A49" s="696" t="s">
        <v>205</v>
      </c>
      <c r="B49" s="1295"/>
      <c r="C49" s="1295"/>
      <c r="D49" s="1295"/>
    </row>
    <row r="50" spans="1:5" outlineLevel="1">
      <c r="A50" s="747" t="s">
        <v>290</v>
      </c>
      <c r="B50" s="691"/>
      <c r="C50" s="677" t="s">
        <v>293</v>
      </c>
      <c r="D50" s="635"/>
    </row>
    <row r="51" spans="1:5" outlineLevel="1">
      <c r="A51" s="740" t="s">
        <v>291</v>
      </c>
      <c r="B51" s="686"/>
      <c r="C51" s="740" t="s">
        <v>294</v>
      </c>
      <c r="D51" s="687"/>
    </row>
    <row r="52" spans="1:5" outlineLevel="1">
      <c r="A52" s="632" t="s">
        <v>292</v>
      </c>
      <c r="B52" s="964"/>
      <c r="C52" s="681" t="s">
        <v>295</v>
      </c>
      <c r="D52" s="741">
        <f ca="1">(TODAY()-B52)/365</f>
        <v>121.6</v>
      </c>
    </row>
    <row r="53" spans="1:5" hidden="1" outlineLevel="1">
      <c r="A53" s="742" t="s">
        <v>288</v>
      </c>
      <c r="B53" s="686"/>
      <c r="C53" s="681" t="s">
        <v>289</v>
      </c>
      <c r="D53" s="686"/>
    </row>
    <row r="54" spans="1:5" outlineLevel="1">
      <c r="A54" s="1291" t="s">
        <v>214</v>
      </c>
      <c r="B54" s="1291"/>
      <c r="C54" s="1291"/>
      <c r="D54" s="1291"/>
    </row>
    <row r="55" spans="1:5" outlineLevel="1">
      <c r="A55" s="677" t="s">
        <v>283</v>
      </c>
      <c r="B55" s="691"/>
      <c r="C55" s="677" t="s">
        <v>284</v>
      </c>
      <c r="D55" s="692"/>
    </row>
    <row r="56" spans="1:5" outlineLevel="1">
      <c r="A56" s="683" t="s">
        <v>533</v>
      </c>
      <c r="B56" s="686"/>
      <c r="C56" s="679" t="s">
        <v>1617</v>
      </c>
      <c r="D56" s="1019">
        <f ca="1">IFERROR((TODAY()-D55)/365,"-")</f>
        <v>121.6</v>
      </c>
      <c r="E56" s="649">
        <f>D57*$E$21</f>
        <v>0</v>
      </c>
    </row>
    <row r="57" spans="1:5" outlineLevel="1">
      <c r="A57" s="677" t="s">
        <v>285</v>
      </c>
      <c r="B57" s="691"/>
      <c r="C57" s="683" t="str">
        <f>IF(FC=USD,"الدخل الشهري (دولار):",IF(FC=ILS,"الدخل الشهري (شيكل):",IF(FC=EUR,"الدخل الشهري (يورو):")))</f>
        <v>الدخل الشهري (دولار):</v>
      </c>
      <c r="D57" s="682">
        <f>0/usdrate</f>
        <v>0</v>
      </c>
      <c r="E57" s="649">
        <f>IF($B$279='بيانات للادخال'!$A$2,1450/usdrate,1450)</f>
        <v>439.39393939393943</v>
      </c>
    </row>
    <row r="58" spans="1:5" outlineLevel="1">
      <c r="A58" s="681" t="s">
        <v>286</v>
      </c>
      <c r="B58" s="686"/>
      <c r="C58" s="683" t="s">
        <v>460</v>
      </c>
      <c r="D58" s="686" t="s">
        <v>110</v>
      </c>
      <c r="E58" s="720">
        <f>IF(D58='بيانات للادخال'!$M$2,التوصية!D57,SMALL(E56:E57,1))</f>
        <v>0</v>
      </c>
    </row>
    <row r="59" spans="1:5" outlineLevel="1">
      <c r="A59" s="657" t="s">
        <v>287</v>
      </c>
      <c r="B59" s="1292"/>
      <c r="C59" s="1292"/>
      <c r="D59" s="1292"/>
    </row>
    <row r="60" spans="1:5" hidden="1" outlineLevel="1">
      <c r="A60" s="1291" t="s">
        <v>215</v>
      </c>
      <c r="B60" s="1291"/>
      <c r="C60" s="1291"/>
      <c r="D60" s="1291"/>
    </row>
    <row r="61" spans="1:5" hidden="1" outlineLevel="1">
      <c r="A61" s="677" t="s">
        <v>283</v>
      </c>
      <c r="B61" s="691"/>
      <c r="C61" s="677" t="s">
        <v>284</v>
      </c>
      <c r="D61" s="692"/>
    </row>
    <row r="62" spans="1:5" hidden="1" outlineLevel="1">
      <c r="A62" s="683" t="s">
        <v>533</v>
      </c>
      <c r="B62" s="686"/>
      <c r="C62" s="679" t="s">
        <v>1617</v>
      </c>
      <c r="D62" s="1019">
        <f ca="1">IFERROR((TODAY()-D61)/365,"-")</f>
        <v>121.6</v>
      </c>
      <c r="E62" s="649">
        <f>D63*$E$21</f>
        <v>0</v>
      </c>
    </row>
    <row r="63" spans="1:5" hidden="1" outlineLevel="1">
      <c r="A63" s="677" t="s">
        <v>285</v>
      </c>
      <c r="B63" s="691"/>
      <c r="C63" s="683" t="str">
        <f>IF(FC=USD,"الدخل الشهري (دولار):",IF(FC=ILS,"الدخل الشهري (شيكل):",IF(FC=EUR,"الدخل الشهري (يورو):")))</f>
        <v>الدخل الشهري (دولار):</v>
      </c>
      <c r="D63" s="682"/>
      <c r="E63" s="649">
        <f>IF($B$279='بيانات للادخال'!$A$2,1450/usdrate,1450)</f>
        <v>439.39393939393943</v>
      </c>
    </row>
    <row r="64" spans="1:5" hidden="1" outlineLevel="1">
      <c r="A64" s="681" t="s">
        <v>286</v>
      </c>
      <c r="B64" s="686"/>
      <c r="C64" s="683" t="s">
        <v>460</v>
      </c>
      <c r="D64" s="686"/>
      <c r="E64" s="720">
        <f>IF(D64='بيانات للادخال'!$M$2,التوصية!D63,SMALL(E62:E63,1))</f>
        <v>0</v>
      </c>
    </row>
    <row r="65" spans="1:5" hidden="1" outlineLevel="1">
      <c r="A65" s="657" t="s">
        <v>287</v>
      </c>
      <c r="B65" s="1292"/>
      <c r="C65" s="1292"/>
      <c r="D65" s="1292"/>
    </row>
    <row r="66" spans="1:5" hidden="1" outlineLevel="1">
      <c r="A66" s="1291" t="s">
        <v>216</v>
      </c>
      <c r="B66" s="1291"/>
      <c r="C66" s="1291"/>
      <c r="D66" s="1291"/>
    </row>
    <row r="67" spans="1:5" hidden="1" outlineLevel="1">
      <c r="A67" s="677" t="s">
        <v>283</v>
      </c>
      <c r="B67" s="691"/>
      <c r="C67" s="677" t="s">
        <v>284</v>
      </c>
      <c r="D67" s="692"/>
    </row>
    <row r="68" spans="1:5" hidden="1" outlineLevel="1">
      <c r="A68" s="683" t="s">
        <v>533</v>
      </c>
      <c r="B68" s="686"/>
      <c r="C68" s="679" t="s">
        <v>1617</v>
      </c>
      <c r="D68" s="1019">
        <f ca="1">IFERROR((TODAY()-D67)/365,"-")</f>
        <v>121.6</v>
      </c>
      <c r="E68" s="649">
        <f>D69*$E$21</f>
        <v>0</v>
      </c>
    </row>
    <row r="69" spans="1:5" hidden="1" outlineLevel="1">
      <c r="A69" s="677" t="s">
        <v>285</v>
      </c>
      <c r="B69" s="691"/>
      <c r="C69" s="683" t="str">
        <f>IF(FC=USD,"الدخل الشهري (دولار):",IF(FC=ILS,"الدخل الشهري (شيكل):",IF(FC=EUR,"الدخل الشهري (يورو):")))</f>
        <v>الدخل الشهري (دولار):</v>
      </c>
      <c r="D69" s="682"/>
      <c r="E69" s="649">
        <f>IF($B$279='بيانات للادخال'!$A$2,1450/usdrate,1450)</f>
        <v>439.39393939393943</v>
      </c>
    </row>
    <row r="70" spans="1:5" hidden="1" outlineLevel="1">
      <c r="A70" s="681" t="s">
        <v>286</v>
      </c>
      <c r="B70" s="686"/>
      <c r="C70" s="683" t="s">
        <v>460</v>
      </c>
      <c r="D70" s="686"/>
      <c r="E70" s="720">
        <f>IF(D70='بيانات للادخال'!$M$2,التوصية!D69,SMALL(E68:E69,1))</f>
        <v>0</v>
      </c>
    </row>
    <row r="71" spans="1:5" hidden="1" outlineLevel="1">
      <c r="A71" s="657" t="s">
        <v>287</v>
      </c>
      <c r="B71" s="1292"/>
      <c r="C71" s="1292"/>
      <c r="D71" s="1292"/>
    </row>
    <row r="72" spans="1:5" hidden="1" outlineLevel="1">
      <c r="A72" s="1291" t="s">
        <v>217</v>
      </c>
      <c r="B72" s="1291"/>
      <c r="C72" s="1291"/>
      <c r="D72" s="1291"/>
    </row>
    <row r="73" spans="1:5" hidden="1" outlineLevel="1">
      <c r="A73" s="677" t="s">
        <v>283</v>
      </c>
      <c r="B73" s="691"/>
      <c r="C73" s="677" t="s">
        <v>284</v>
      </c>
      <c r="D73" s="692"/>
    </row>
    <row r="74" spans="1:5" hidden="1" outlineLevel="1">
      <c r="A74" s="683" t="s">
        <v>533</v>
      </c>
      <c r="B74" s="686"/>
      <c r="C74" s="679" t="s">
        <v>1617</v>
      </c>
      <c r="D74" s="1019">
        <f ca="1">IFERROR((TODAY()-D73)/365,"-")</f>
        <v>121.6</v>
      </c>
      <c r="E74" s="649">
        <f>D75*$E$21</f>
        <v>0</v>
      </c>
    </row>
    <row r="75" spans="1:5" hidden="1" outlineLevel="1">
      <c r="A75" s="677" t="s">
        <v>285</v>
      </c>
      <c r="B75" s="691"/>
      <c r="C75" s="683" t="str">
        <f>IF(FC=USD,"الدخل الشهري (دولار):",IF(FC=ILS,"الدخل الشهري (شيكل):",IF(FC=EUR,"الدخل الشهري (يورو):")))</f>
        <v>الدخل الشهري (دولار):</v>
      </c>
      <c r="D75" s="682"/>
      <c r="E75" s="649">
        <f>IF($B$279='بيانات للادخال'!$A$2,1450/usdrate,1450)</f>
        <v>439.39393939393943</v>
      </c>
    </row>
    <row r="76" spans="1:5" hidden="1" outlineLevel="1">
      <c r="A76" s="681" t="s">
        <v>286</v>
      </c>
      <c r="B76" s="686"/>
      <c r="C76" s="683" t="s">
        <v>460</v>
      </c>
      <c r="D76" s="686"/>
      <c r="E76" s="720">
        <f>IF(D76='بيانات للادخال'!$M$2,التوصية!D75,SMALL(E74:E75,1))</f>
        <v>0</v>
      </c>
    </row>
    <row r="77" spans="1:5" hidden="1" outlineLevel="1">
      <c r="A77" s="695" t="s">
        <v>287</v>
      </c>
      <c r="B77" s="1293"/>
      <c r="C77" s="1293"/>
      <c r="D77" s="1293"/>
    </row>
    <row r="78" spans="1:5" hidden="1">
      <c r="A78" s="1294" t="s">
        <v>3</v>
      </c>
      <c r="B78" s="1294"/>
      <c r="C78" s="1294"/>
      <c r="D78" s="1294"/>
    </row>
    <row r="79" spans="1:5" ht="18.75" hidden="1">
      <c r="A79" s="696" t="s">
        <v>207</v>
      </c>
      <c r="B79" s="1295"/>
      <c r="C79" s="1295"/>
      <c r="D79" s="1295"/>
    </row>
    <row r="80" spans="1:5" hidden="1" outlineLevel="1">
      <c r="A80" s="740" t="s">
        <v>290</v>
      </c>
      <c r="B80" s="691"/>
      <c r="C80" s="681" t="s">
        <v>293</v>
      </c>
      <c r="D80" s="739"/>
    </row>
    <row r="81" spans="1:5" hidden="1" outlineLevel="1">
      <c r="A81" s="740" t="s">
        <v>291</v>
      </c>
      <c r="B81" s="686"/>
      <c r="C81" s="740" t="s">
        <v>294</v>
      </c>
      <c r="D81" s="687"/>
    </row>
    <row r="82" spans="1:5" hidden="1" outlineLevel="1">
      <c r="A82" s="632" t="s">
        <v>292</v>
      </c>
      <c r="B82" s="964"/>
      <c r="C82" s="681" t="s">
        <v>295</v>
      </c>
      <c r="D82" s="741">
        <f ca="1">(TODAY()-B82)/365</f>
        <v>121.6</v>
      </c>
    </row>
    <row r="83" spans="1:5" hidden="1" outlineLevel="1">
      <c r="A83" s="742" t="s">
        <v>288</v>
      </c>
      <c r="B83" s="686"/>
      <c r="C83" s="681" t="s">
        <v>289</v>
      </c>
      <c r="D83" s="686"/>
    </row>
    <row r="84" spans="1:5" hidden="1" outlineLevel="1">
      <c r="A84" s="1291" t="s">
        <v>214</v>
      </c>
      <c r="B84" s="1291"/>
      <c r="C84" s="1291"/>
      <c r="D84" s="1291"/>
    </row>
    <row r="85" spans="1:5" hidden="1" outlineLevel="1">
      <c r="A85" s="677" t="s">
        <v>283</v>
      </c>
      <c r="B85" s="691"/>
      <c r="C85" s="677" t="s">
        <v>284</v>
      </c>
      <c r="D85" s="692"/>
    </row>
    <row r="86" spans="1:5" hidden="1" outlineLevel="1">
      <c r="A86" s="683" t="s">
        <v>533</v>
      </c>
      <c r="B86" s="686"/>
      <c r="C86" s="679" t="s">
        <v>1617</v>
      </c>
      <c r="D86" s="1019">
        <f ca="1">IFERROR((TODAY()-D85)/365,"-")</f>
        <v>121.6</v>
      </c>
      <c r="E86" s="649">
        <f>D87*$E$21</f>
        <v>0</v>
      </c>
    </row>
    <row r="87" spans="1:5" hidden="1" outlineLevel="1">
      <c r="A87" s="677" t="s">
        <v>285</v>
      </c>
      <c r="B87" s="691"/>
      <c r="C87" s="683" t="str">
        <f>IF(FC=USD,"الدخل الشهري (دولار):",IF(FC=ILS,"الدخل الشهري (شيكل):",IF(FC=EUR,"الدخل الشهري (يورو):")))</f>
        <v>الدخل الشهري (دولار):</v>
      </c>
      <c r="D87" s="682"/>
      <c r="E87" s="649">
        <f>IF($B$279='بيانات للادخال'!$A$2,1450/usdrate,1450)</f>
        <v>439.39393939393943</v>
      </c>
    </row>
    <row r="88" spans="1:5" hidden="1" outlineLevel="1">
      <c r="A88" s="681" t="s">
        <v>286</v>
      </c>
      <c r="B88" s="686"/>
      <c r="C88" s="683" t="s">
        <v>460</v>
      </c>
      <c r="D88" s="686" t="s">
        <v>110</v>
      </c>
      <c r="E88" s="720">
        <f>IF(D88='بيانات للادخال'!$M$2,التوصية!D87,SMALL(E86:E87,1))</f>
        <v>0</v>
      </c>
    </row>
    <row r="89" spans="1:5" hidden="1" outlineLevel="1">
      <c r="A89" s="657" t="s">
        <v>287</v>
      </c>
      <c r="B89" s="1292"/>
      <c r="C89" s="1292"/>
      <c r="D89" s="1292"/>
    </row>
    <row r="90" spans="1:5" hidden="1" outlineLevel="1">
      <c r="A90" s="1291" t="s">
        <v>215</v>
      </c>
      <c r="B90" s="1291"/>
      <c r="C90" s="1291"/>
      <c r="D90" s="1291"/>
    </row>
    <row r="91" spans="1:5" hidden="1" outlineLevel="1">
      <c r="A91" s="677" t="s">
        <v>283</v>
      </c>
      <c r="B91" s="691"/>
      <c r="C91" s="677" t="s">
        <v>284</v>
      </c>
      <c r="D91" s="692"/>
    </row>
    <row r="92" spans="1:5" hidden="1" outlineLevel="1">
      <c r="A92" s="683" t="s">
        <v>533</v>
      </c>
      <c r="B92" s="686"/>
      <c r="C92" s="679" t="s">
        <v>1617</v>
      </c>
      <c r="D92" s="1019">
        <f ca="1">IFERROR((TODAY()-D91)/365,"-")</f>
        <v>121.6</v>
      </c>
      <c r="E92" s="649">
        <f>D93*$E$21</f>
        <v>0</v>
      </c>
    </row>
    <row r="93" spans="1:5" hidden="1" outlineLevel="1">
      <c r="A93" s="677" t="s">
        <v>285</v>
      </c>
      <c r="B93" s="691"/>
      <c r="C93" s="683" t="str">
        <f>IF(FC=USD,"الدخل الشهري (دولار):",IF(FC=ILS,"الدخل الشهري (شيكل):",IF(FC=EUR,"الدخل الشهري (يورو):")))</f>
        <v>الدخل الشهري (دولار):</v>
      </c>
      <c r="D93" s="682"/>
      <c r="E93" s="649">
        <f>IF($B$279='بيانات للادخال'!$A$2,1450/usdrate,1450)</f>
        <v>439.39393939393943</v>
      </c>
    </row>
    <row r="94" spans="1:5" hidden="1" outlineLevel="1">
      <c r="A94" s="681" t="s">
        <v>286</v>
      </c>
      <c r="B94" s="686"/>
      <c r="C94" s="683" t="s">
        <v>460</v>
      </c>
      <c r="D94" s="686"/>
      <c r="E94" s="720">
        <f>IF(D94='بيانات للادخال'!$M$2,التوصية!D93,SMALL(E92:E93,1))</f>
        <v>0</v>
      </c>
    </row>
    <row r="95" spans="1:5" hidden="1" outlineLevel="1">
      <c r="A95" s="657" t="s">
        <v>287</v>
      </c>
      <c r="B95" s="1292"/>
      <c r="C95" s="1292"/>
      <c r="D95" s="1292"/>
    </row>
    <row r="96" spans="1:5" hidden="1" outlineLevel="1">
      <c r="A96" s="1291" t="s">
        <v>216</v>
      </c>
      <c r="B96" s="1291"/>
      <c r="C96" s="1291"/>
      <c r="D96" s="1291"/>
    </row>
    <row r="97" spans="1:5" hidden="1" outlineLevel="1">
      <c r="A97" s="677" t="s">
        <v>283</v>
      </c>
      <c r="B97" s="691"/>
      <c r="C97" s="677" t="s">
        <v>284</v>
      </c>
      <c r="D97" s="692"/>
    </row>
    <row r="98" spans="1:5" hidden="1" outlineLevel="1">
      <c r="A98" s="683" t="s">
        <v>533</v>
      </c>
      <c r="B98" s="686"/>
      <c r="C98" s="679" t="s">
        <v>1617</v>
      </c>
      <c r="D98" s="1019">
        <f ca="1">IFERROR((TODAY()-D97)/365,"-")</f>
        <v>121.6</v>
      </c>
      <c r="E98" s="649">
        <f>D99*$E$21</f>
        <v>0</v>
      </c>
    </row>
    <row r="99" spans="1:5" hidden="1" outlineLevel="1">
      <c r="A99" s="677" t="s">
        <v>285</v>
      </c>
      <c r="B99" s="691"/>
      <c r="C99" s="683" t="str">
        <f>IF(FC=USD,"الدخل الشهري (دولار):",IF(FC=ILS,"الدخل الشهري (شيكل):",IF(FC=EUR,"الدخل الشهري (يورو):")))</f>
        <v>الدخل الشهري (دولار):</v>
      </c>
      <c r="D99" s="682"/>
      <c r="E99" s="649">
        <f>IF($B$279='بيانات للادخال'!$A$2,1450/usdrate,1450)</f>
        <v>439.39393939393943</v>
      </c>
    </row>
    <row r="100" spans="1:5" hidden="1" outlineLevel="1">
      <c r="A100" s="681" t="s">
        <v>286</v>
      </c>
      <c r="B100" s="686"/>
      <c r="C100" s="683" t="s">
        <v>460</v>
      </c>
      <c r="D100" s="686"/>
      <c r="E100" s="720">
        <f>IF(D100='بيانات للادخال'!$M$2,التوصية!D99,SMALL(E98:E99,1))</f>
        <v>0</v>
      </c>
    </row>
    <row r="101" spans="1:5" hidden="1" outlineLevel="1">
      <c r="A101" s="657" t="s">
        <v>287</v>
      </c>
      <c r="B101" s="1292"/>
      <c r="C101" s="1292"/>
      <c r="D101" s="1292"/>
    </row>
    <row r="102" spans="1:5" hidden="1" outlineLevel="1">
      <c r="A102" s="1291" t="s">
        <v>217</v>
      </c>
      <c r="B102" s="1291"/>
      <c r="C102" s="1291"/>
      <c r="D102" s="1291"/>
    </row>
    <row r="103" spans="1:5" hidden="1" outlineLevel="1">
      <c r="A103" s="677" t="s">
        <v>283</v>
      </c>
      <c r="B103" s="691"/>
      <c r="C103" s="677" t="s">
        <v>284</v>
      </c>
      <c r="D103" s="692"/>
    </row>
    <row r="104" spans="1:5" hidden="1" outlineLevel="1">
      <c r="A104" s="683" t="s">
        <v>533</v>
      </c>
      <c r="B104" s="686"/>
      <c r="C104" s="679" t="s">
        <v>1617</v>
      </c>
      <c r="D104" s="1019">
        <f ca="1">IFERROR((TODAY()-D103)/365,"-")</f>
        <v>121.6</v>
      </c>
      <c r="E104" s="649">
        <f>D105*$E$21</f>
        <v>0</v>
      </c>
    </row>
    <row r="105" spans="1:5" hidden="1" outlineLevel="1">
      <c r="A105" s="677" t="s">
        <v>285</v>
      </c>
      <c r="B105" s="691"/>
      <c r="C105" s="683" t="str">
        <f>IF(FC=USD,"الدخل الشهري (دولار):",IF(FC=ILS,"الدخل الشهري (شيكل):",IF(FC=EUR,"الدخل الشهري (يورو):")))</f>
        <v>الدخل الشهري (دولار):</v>
      </c>
      <c r="D105" s="682"/>
      <c r="E105" s="649">
        <f>IF($B$279='بيانات للادخال'!$A$2,1450/usdrate,1450)</f>
        <v>439.39393939393943</v>
      </c>
    </row>
    <row r="106" spans="1:5" hidden="1" outlineLevel="1">
      <c r="A106" s="681" t="s">
        <v>286</v>
      </c>
      <c r="B106" s="686"/>
      <c r="C106" s="683" t="s">
        <v>460</v>
      </c>
      <c r="D106" s="686"/>
      <c r="E106" s="720">
        <f>IF(D106='بيانات للادخال'!$M$2,التوصية!D105,SMALL(E104:E105,1))</f>
        <v>0</v>
      </c>
    </row>
    <row r="107" spans="1:5" hidden="1" outlineLevel="1">
      <c r="A107" s="695" t="s">
        <v>287</v>
      </c>
      <c r="B107" s="1293"/>
      <c r="C107" s="1293"/>
      <c r="D107" s="1293"/>
    </row>
    <row r="108" spans="1:5" hidden="1" collapsed="1">
      <c r="A108" s="1294" t="s">
        <v>3</v>
      </c>
      <c r="B108" s="1294"/>
      <c r="C108" s="1294"/>
      <c r="D108" s="1294"/>
    </row>
    <row r="109" spans="1:5" ht="18.75" hidden="1">
      <c r="A109" s="696" t="s">
        <v>206</v>
      </c>
      <c r="B109" s="1295"/>
      <c r="C109" s="1295"/>
      <c r="D109" s="1295"/>
    </row>
    <row r="110" spans="1:5" hidden="1" outlineLevel="1">
      <c r="A110" s="740" t="s">
        <v>290</v>
      </c>
      <c r="B110" s="691"/>
      <c r="C110" s="681" t="s">
        <v>293</v>
      </c>
      <c r="D110" s="739"/>
    </row>
    <row r="111" spans="1:5" hidden="1" outlineLevel="1">
      <c r="A111" s="740" t="s">
        <v>291</v>
      </c>
      <c r="B111" s="686"/>
      <c r="C111" s="740" t="s">
        <v>294</v>
      </c>
      <c r="D111" s="687"/>
    </row>
    <row r="112" spans="1:5" hidden="1" outlineLevel="1">
      <c r="A112" s="632" t="s">
        <v>1623</v>
      </c>
      <c r="B112" s="964"/>
      <c r="C112" s="681" t="s">
        <v>295</v>
      </c>
      <c r="D112" s="1181">
        <f ca="1">(TODAY()-B112)/365</f>
        <v>121.6</v>
      </c>
    </row>
    <row r="113" spans="1:14" hidden="1" outlineLevel="1">
      <c r="A113" s="742" t="s">
        <v>288</v>
      </c>
      <c r="B113" s="686"/>
      <c r="C113" s="681" t="s">
        <v>289</v>
      </c>
      <c r="D113" s="686"/>
    </row>
    <row r="114" spans="1:14" hidden="1" outlineLevel="1">
      <c r="A114" s="1291" t="s">
        <v>214</v>
      </c>
      <c r="B114" s="1291"/>
      <c r="C114" s="1291"/>
      <c r="D114" s="1291"/>
    </row>
    <row r="115" spans="1:14" hidden="1" outlineLevel="1">
      <c r="A115" s="677" t="s">
        <v>283</v>
      </c>
      <c r="B115" s="691"/>
      <c r="C115" s="677" t="s">
        <v>284</v>
      </c>
      <c r="D115" s="692"/>
    </row>
    <row r="116" spans="1:14" hidden="1" outlineLevel="1">
      <c r="A116" s="683" t="s">
        <v>533</v>
      </c>
      <c r="B116" s="686"/>
      <c r="C116" s="679" t="s">
        <v>1617</v>
      </c>
      <c r="D116" s="1019">
        <f ca="1">IFERROR((TODAY()-D115)/365,"-")</f>
        <v>121.6</v>
      </c>
      <c r="E116" s="649">
        <f>D117*$E$21</f>
        <v>0</v>
      </c>
    </row>
    <row r="117" spans="1:14" hidden="1" outlineLevel="1">
      <c r="A117" s="677" t="s">
        <v>285</v>
      </c>
      <c r="B117" s="691"/>
      <c r="C117" s="683" t="str">
        <f>IF(FC=USD,"الدخل الشهري (دولار):",IF(FC=ILS,"الدخل الشهري (شيكل):",IF(FC=EUR,"الدخل الشهري (يورو):")))</f>
        <v>الدخل الشهري (دولار):</v>
      </c>
      <c r="D117" s="682"/>
      <c r="E117" s="649">
        <f>IF($B$279='بيانات للادخال'!$A$2,1450/usdrate,1450)</f>
        <v>439.39393939393943</v>
      </c>
    </row>
    <row r="118" spans="1:14" hidden="1" outlineLevel="1">
      <c r="A118" s="681" t="s">
        <v>286</v>
      </c>
      <c r="B118" s="686"/>
      <c r="C118" s="683" t="s">
        <v>460</v>
      </c>
      <c r="D118" s="686"/>
      <c r="E118" s="720">
        <f>IF(D118='بيانات للادخال'!$M$2,التوصية!D117,SMALL(E116:E117,1))</f>
        <v>0</v>
      </c>
    </row>
    <row r="119" spans="1:14" hidden="1" outlineLevel="1">
      <c r="A119" s="657" t="s">
        <v>287</v>
      </c>
      <c r="B119" s="1292"/>
      <c r="C119" s="1292"/>
      <c r="D119" s="1292"/>
      <c r="N119" s="648">
        <f>23318/7</f>
        <v>3331.1428571428573</v>
      </c>
    </row>
    <row r="120" spans="1:14" hidden="1" outlineLevel="1">
      <c r="A120" s="1291" t="s">
        <v>215</v>
      </c>
      <c r="B120" s="1291"/>
      <c r="C120" s="1291"/>
      <c r="D120" s="1291"/>
    </row>
    <row r="121" spans="1:14" hidden="1" outlineLevel="1">
      <c r="A121" s="677" t="s">
        <v>283</v>
      </c>
      <c r="B121" s="691"/>
      <c r="C121" s="677" t="s">
        <v>284</v>
      </c>
      <c r="D121" s="692"/>
    </row>
    <row r="122" spans="1:14" hidden="1" outlineLevel="1">
      <c r="A122" s="683" t="s">
        <v>533</v>
      </c>
      <c r="B122" s="686"/>
      <c r="C122" s="679" t="s">
        <v>1617</v>
      </c>
      <c r="D122" s="1019">
        <f ca="1">IFERROR((TODAY()-D121)/365,"-")</f>
        <v>121.6</v>
      </c>
      <c r="E122" s="649">
        <f>D123*$E$21</f>
        <v>0</v>
      </c>
    </row>
    <row r="123" spans="1:14" hidden="1" outlineLevel="1">
      <c r="A123" s="677" t="s">
        <v>285</v>
      </c>
      <c r="B123" s="691"/>
      <c r="C123" s="683" t="str">
        <f>IF(FC=USD,"الدخل الشهري (دولار):",IF(FC=ILS,"الدخل الشهري (شيكل):",IF(FC=EUR,"الدخل الشهري (يورو):")))</f>
        <v>الدخل الشهري (دولار):</v>
      </c>
      <c r="D123" s="682"/>
      <c r="E123" s="649">
        <f>IF($B$279='بيانات للادخال'!$A$2,1450/usdrate,1450)</f>
        <v>439.39393939393943</v>
      </c>
    </row>
    <row r="124" spans="1:14" hidden="1" outlineLevel="1">
      <c r="A124" s="681" t="s">
        <v>286</v>
      </c>
      <c r="B124" s="686"/>
      <c r="C124" s="683" t="s">
        <v>460</v>
      </c>
      <c r="D124" s="686"/>
      <c r="E124" s="720">
        <f>IF(D124='بيانات للادخال'!$M$2,التوصية!D123,SMALL(E122:E123,1))</f>
        <v>0</v>
      </c>
    </row>
    <row r="125" spans="1:14" hidden="1" outlineLevel="1">
      <c r="A125" s="657" t="s">
        <v>287</v>
      </c>
      <c r="B125" s="1292"/>
      <c r="C125" s="1292"/>
      <c r="D125" s="1292"/>
    </row>
    <row r="126" spans="1:14" hidden="1" outlineLevel="1">
      <c r="A126" s="1291" t="s">
        <v>216</v>
      </c>
      <c r="B126" s="1291"/>
      <c r="C126" s="1291"/>
      <c r="D126" s="1291"/>
    </row>
    <row r="127" spans="1:14" hidden="1" outlineLevel="1">
      <c r="A127" s="677" t="s">
        <v>283</v>
      </c>
      <c r="B127" s="691"/>
      <c r="C127" s="677" t="s">
        <v>284</v>
      </c>
      <c r="D127" s="692"/>
    </row>
    <row r="128" spans="1:14" hidden="1" outlineLevel="1">
      <c r="A128" s="683" t="s">
        <v>533</v>
      </c>
      <c r="B128" s="686"/>
      <c r="C128" s="679" t="s">
        <v>1617</v>
      </c>
      <c r="D128" s="1019">
        <f ca="1">IFERROR((TODAY()-D127)/365,"-")</f>
        <v>121.6</v>
      </c>
      <c r="E128" s="649">
        <f>D129*$E$21</f>
        <v>0</v>
      </c>
    </row>
    <row r="129" spans="1:5" hidden="1" outlineLevel="1">
      <c r="A129" s="677" t="s">
        <v>285</v>
      </c>
      <c r="B129" s="691"/>
      <c r="C129" s="683" t="str">
        <f>IF(FC=USD,"الدخل الشهري (دولار):",IF(FC=ILS,"الدخل الشهري (شيكل):",IF(FC=EUR,"الدخل الشهري (يورو):")))</f>
        <v>الدخل الشهري (دولار):</v>
      </c>
      <c r="D129" s="682"/>
      <c r="E129" s="649">
        <f>IF($B$279='بيانات للادخال'!$A$2,1450/usdrate,1450)</f>
        <v>439.39393939393943</v>
      </c>
    </row>
    <row r="130" spans="1:5" hidden="1" outlineLevel="1">
      <c r="A130" s="681" t="s">
        <v>286</v>
      </c>
      <c r="B130" s="686"/>
      <c r="C130" s="683" t="s">
        <v>460</v>
      </c>
      <c r="D130" s="686"/>
      <c r="E130" s="720">
        <f>IF(D130='بيانات للادخال'!$M$2,التوصية!D129,SMALL(E128:E129,1))</f>
        <v>0</v>
      </c>
    </row>
    <row r="131" spans="1:5" hidden="1" outlineLevel="1">
      <c r="A131" s="657" t="s">
        <v>287</v>
      </c>
      <c r="B131" s="1292"/>
      <c r="C131" s="1292"/>
      <c r="D131" s="1292"/>
    </row>
    <row r="132" spans="1:5" hidden="1" outlineLevel="1">
      <c r="A132" s="1291" t="s">
        <v>217</v>
      </c>
      <c r="B132" s="1291"/>
      <c r="C132" s="1291"/>
      <c r="D132" s="1291"/>
    </row>
    <row r="133" spans="1:5" hidden="1" outlineLevel="1">
      <c r="A133" s="677" t="s">
        <v>283</v>
      </c>
      <c r="B133" s="691"/>
      <c r="C133" s="677" t="s">
        <v>284</v>
      </c>
      <c r="D133" s="692"/>
    </row>
    <row r="134" spans="1:5" hidden="1" outlineLevel="1">
      <c r="A134" s="683" t="s">
        <v>533</v>
      </c>
      <c r="B134" s="686"/>
      <c r="C134" s="679" t="s">
        <v>1617</v>
      </c>
      <c r="D134" s="1019">
        <f ca="1">IFERROR((TODAY()-D133)/365,"-")</f>
        <v>121.6</v>
      </c>
      <c r="E134" s="649">
        <f>D135*$E$21</f>
        <v>0</v>
      </c>
    </row>
    <row r="135" spans="1:5" hidden="1" outlineLevel="1">
      <c r="A135" s="677" t="s">
        <v>285</v>
      </c>
      <c r="B135" s="691"/>
      <c r="C135" s="683" t="str">
        <f>IF(FC=USD,"الدخل الشهري (دولار):",IF(FC=ILS,"الدخل الشهري (شيكل):",IF(FC=EUR,"الدخل الشهري (يورو):")))</f>
        <v>الدخل الشهري (دولار):</v>
      </c>
      <c r="D135" s="682"/>
      <c r="E135" s="649">
        <f>IF($B$279='بيانات للادخال'!$A$2,1450/usdrate,1450)</f>
        <v>439.39393939393943</v>
      </c>
    </row>
    <row r="136" spans="1:5" hidden="1" outlineLevel="1">
      <c r="A136" s="681" t="s">
        <v>286</v>
      </c>
      <c r="B136" s="686"/>
      <c r="C136" s="683" t="s">
        <v>460</v>
      </c>
      <c r="D136" s="686"/>
      <c r="E136" s="720">
        <f>IF(D136='بيانات للادخال'!$M$2,التوصية!D135,SMALL(E134:E135,1))</f>
        <v>0</v>
      </c>
    </row>
    <row r="137" spans="1:5" hidden="1" outlineLevel="1">
      <c r="A137" s="695" t="s">
        <v>287</v>
      </c>
      <c r="B137" s="1293"/>
      <c r="C137" s="1293"/>
      <c r="D137" s="1293"/>
    </row>
    <row r="138" spans="1:5" hidden="1" collapsed="1">
      <c r="A138" s="1294" t="s">
        <v>3</v>
      </c>
      <c r="B138" s="1294"/>
      <c r="C138" s="1294"/>
      <c r="D138" s="1294"/>
    </row>
    <row r="139" spans="1:5" ht="18.75" hidden="1">
      <c r="A139" s="696" t="s">
        <v>208</v>
      </c>
      <c r="B139" s="1295"/>
      <c r="C139" s="1295"/>
      <c r="D139" s="1295"/>
    </row>
    <row r="140" spans="1:5" hidden="1" outlineLevel="1">
      <c r="A140" s="747" t="s">
        <v>290</v>
      </c>
      <c r="B140" s="691"/>
      <c r="C140" s="677" t="s">
        <v>293</v>
      </c>
      <c r="D140" s="635"/>
    </row>
    <row r="141" spans="1:5" hidden="1" outlineLevel="1">
      <c r="A141" s="740" t="s">
        <v>291</v>
      </c>
      <c r="B141" s="686"/>
      <c r="C141" s="740" t="s">
        <v>294</v>
      </c>
      <c r="D141" s="687"/>
    </row>
    <row r="142" spans="1:5" hidden="1" outlineLevel="1">
      <c r="A142" s="632" t="s">
        <v>292</v>
      </c>
      <c r="B142" s="964"/>
      <c r="C142" s="681" t="s">
        <v>295</v>
      </c>
      <c r="D142" s="741">
        <f ca="1">(TODAY()-B142)/365</f>
        <v>121.6</v>
      </c>
    </row>
    <row r="143" spans="1:5" hidden="1" outlineLevel="1">
      <c r="A143" s="742" t="s">
        <v>288</v>
      </c>
      <c r="B143" s="686"/>
      <c r="C143" s="681" t="s">
        <v>289</v>
      </c>
      <c r="D143" s="686"/>
    </row>
    <row r="144" spans="1:5" hidden="1" outlineLevel="1">
      <c r="A144" s="1291" t="s">
        <v>214</v>
      </c>
      <c r="B144" s="1291"/>
      <c r="C144" s="1291"/>
      <c r="D144" s="1291"/>
    </row>
    <row r="145" spans="1:5" hidden="1" outlineLevel="1">
      <c r="A145" s="677" t="s">
        <v>283</v>
      </c>
      <c r="B145" s="691"/>
      <c r="C145" s="677" t="s">
        <v>284</v>
      </c>
      <c r="D145" s="692"/>
    </row>
    <row r="146" spans="1:5" hidden="1" outlineLevel="1">
      <c r="A146" s="683" t="s">
        <v>533</v>
      </c>
      <c r="B146" s="686"/>
      <c r="C146" s="679" t="s">
        <v>1617</v>
      </c>
      <c r="D146" s="1019">
        <f ca="1">IFERROR((TODAY()-D145)/365,"-")</f>
        <v>121.6</v>
      </c>
      <c r="E146" s="649">
        <f>D147*$E$21</f>
        <v>0</v>
      </c>
    </row>
    <row r="147" spans="1:5" hidden="1" outlineLevel="1">
      <c r="A147" s="677" t="s">
        <v>285</v>
      </c>
      <c r="B147" s="691"/>
      <c r="C147" s="683" t="str">
        <f>IF(FC=USD,"الدخل الشهري (دولار):",IF(FC=ILS,"الدخل الشهري (شيكل):",IF(FC=EUR,"الدخل الشهري (يورو):")))</f>
        <v>الدخل الشهري (دولار):</v>
      </c>
      <c r="D147" s="682"/>
      <c r="E147" s="649">
        <f>IF($B$279='بيانات للادخال'!$A$2,1450/usdrate,1450)</f>
        <v>439.39393939393943</v>
      </c>
    </row>
    <row r="148" spans="1:5" hidden="1" outlineLevel="1">
      <c r="A148" s="681" t="s">
        <v>286</v>
      </c>
      <c r="B148" s="686"/>
      <c r="C148" s="683" t="s">
        <v>460</v>
      </c>
      <c r="D148" s="686"/>
      <c r="E148" s="720">
        <f>IF(D148='بيانات للادخال'!$M$2,التوصية!D147,SMALL(E146:E147,1))</f>
        <v>0</v>
      </c>
    </row>
    <row r="149" spans="1:5" hidden="1" outlineLevel="1">
      <c r="A149" s="657" t="s">
        <v>287</v>
      </c>
      <c r="B149" s="1292"/>
      <c r="C149" s="1292"/>
      <c r="D149" s="1292"/>
    </row>
    <row r="150" spans="1:5" hidden="1" outlineLevel="1">
      <c r="A150" s="1291" t="s">
        <v>215</v>
      </c>
      <c r="B150" s="1291"/>
      <c r="C150" s="1291"/>
      <c r="D150" s="1291"/>
    </row>
    <row r="151" spans="1:5" hidden="1" outlineLevel="1">
      <c r="A151" s="677" t="s">
        <v>283</v>
      </c>
      <c r="B151" s="691"/>
      <c r="C151" s="677" t="s">
        <v>284</v>
      </c>
      <c r="D151" s="692"/>
    </row>
    <row r="152" spans="1:5" hidden="1" outlineLevel="1">
      <c r="A152" s="683" t="s">
        <v>533</v>
      </c>
      <c r="B152" s="686"/>
      <c r="C152" s="679" t="s">
        <v>1617</v>
      </c>
      <c r="D152" s="1019">
        <f ca="1">IFERROR((TODAY()-D151)/365,"-")</f>
        <v>121.6</v>
      </c>
      <c r="E152" s="649">
        <f>D153*$E$21</f>
        <v>0</v>
      </c>
    </row>
    <row r="153" spans="1:5" hidden="1" outlineLevel="1">
      <c r="A153" s="677" t="s">
        <v>285</v>
      </c>
      <c r="B153" s="691"/>
      <c r="C153" s="683" t="str">
        <f>IF(FC=USD,"الدخل الشهري (دولار):",IF(FC=ILS,"الدخل الشهري (شيكل):",IF(FC=EUR,"الدخل الشهري (يورو):")))</f>
        <v>الدخل الشهري (دولار):</v>
      </c>
      <c r="D153" s="682"/>
      <c r="E153" s="649">
        <f>IF($B$279='بيانات للادخال'!$A$2,1450/usdrate,1450)</f>
        <v>439.39393939393943</v>
      </c>
    </row>
    <row r="154" spans="1:5" hidden="1" outlineLevel="1">
      <c r="A154" s="681" t="s">
        <v>286</v>
      </c>
      <c r="B154" s="686"/>
      <c r="C154" s="683" t="s">
        <v>460</v>
      </c>
      <c r="D154" s="686"/>
      <c r="E154" s="720">
        <f>IF(D154='بيانات للادخال'!$M$2,التوصية!D153,SMALL(E152:E153,1))</f>
        <v>0</v>
      </c>
    </row>
    <row r="155" spans="1:5" hidden="1" outlineLevel="1">
      <c r="A155" s="657" t="s">
        <v>287</v>
      </c>
      <c r="B155" s="1292"/>
      <c r="C155" s="1292"/>
      <c r="D155" s="1292"/>
    </row>
    <row r="156" spans="1:5" hidden="1" outlineLevel="1">
      <c r="A156" s="1291" t="s">
        <v>216</v>
      </c>
      <c r="B156" s="1291"/>
      <c r="C156" s="1291"/>
      <c r="D156" s="1291"/>
    </row>
    <row r="157" spans="1:5" hidden="1" outlineLevel="1">
      <c r="A157" s="677" t="s">
        <v>283</v>
      </c>
      <c r="B157" s="691"/>
      <c r="C157" s="677" t="s">
        <v>284</v>
      </c>
      <c r="D157" s="692"/>
    </row>
    <row r="158" spans="1:5" hidden="1" outlineLevel="1">
      <c r="A158" s="683" t="s">
        <v>533</v>
      </c>
      <c r="B158" s="686"/>
      <c r="C158" s="679" t="s">
        <v>1617</v>
      </c>
      <c r="D158" s="1019">
        <f ca="1">IFERROR((TODAY()-D157)/365,"-")</f>
        <v>121.6</v>
      </c>
      <c r="E158" s="649">
        <f>D159*$E$21</f>
        <v>0</v>
      </c>
    </row>
    <row r="159" spans="1:5" hidden="1" outlineLevel="1">
      <c r="A159" s="677" t="s">
        <v>285</v>
      </c>
      <c r="B159" s="691"/>
      <c r="C159" s="683" t="str">
        <f>IF(FC=USD,"الدخل الشهري (دولار):",IF(FC=ILS,"الدخل الشهري (شيكل):",IF(FC=EUR,"الدخل الشهري (يورو):")))</f>
        <v>الدخل الشهري (دولار):</v>
      </c>
      <c r="D159" s="682"/>
      <c r="E159" s="649">
        <f>IF($B$279='بيانات للادخال'!$A$2,1450/usdrate,1450)</f>
        <v>439.39393939393943</v>
      </c>
    </row>
    <row r="160" spans="1:5" hidden="1" outlineLevel="1">
      <c r="A160" s="681" t="s">
        <v>286</v>
      </c>
      <c r="B160" s="686"/>
      <c r="C160" s="683" t="s">
        <v>460</v>
      </c>
      <c r="D160" s="686"/>
      <c r="E160" s="720">
        <f>IF(D160='بيانات للادخال'!$M$2,التوصية!D159,SMALL(E158:E159,1))</f>
        <v>0</v>
      </c>
    </row>
    <row r="161" spans="1:5" hidden="1" outlineLevel="1">
      <c r="A161" s="657" t="s">
        <v>287</v>
      </c>
      <c r="B161" s="1292"/>
      <c r="C161" s="1292"/>
      <c r="D161" s="1292"/>
    </row>
    <row r="162" spans="1:5" hidden="1" outlineLevel="1">
      <c r="A162" s="1291" t="s">
        <v>217</v>
      </c>
      <c r="B162" s="1291"/>
      <c r="C162" s="1291"/>
      <c r="D162" s="1291"/>
    </row>
    <row r="163" spans="1:5" hidden="1" outlineLevel="1">
      <c r="A163" s="677" t="s">
        <v>283</v>
      </c>
      <c r="B163" s="691"/>
      <c r="C163" s="677" t="s">
        <v>284</v>
      </c>
      <c r="D163" s="692"/>
    </row>
    <row r="164" spans="1:5" hidden="1" outlineLevel="1">
      <c r="A164" s="683" t="s">
        <v>533</v>
      </c>
      <c r="B164" s="686"/>
      <c r="C164" s="679" t="s">
        <v>1617</v>
      </c>
      <c r="D164" s="1019">
        <f ca="1">IFERROR((TODAY()-D163)/365,"-")</f>
        <v>121.6</v>
      </c>
      <c r="E164" s="649">
        <f>D165*$E$21</f>
        <v>0</v>
      </c>
    </row>
    <row r="165" spans="1:5" hidden="1" outlineLevel="1">
      <c r="A165" s="677" t="s">
        <v>285</v>
      </c>
      <c r="B165" s="691"/>
      <c r="C165" s="683" t="str">
        <f>IF(FC=USD,"الدخل الشهري (دولار):",IF(FC=ILS,"الدخل الشهري (شيكل):",IF(FC=EUR,"الدخل الشهري (يورو):")))</f>
        <v>الدخل الشهري (دولار):</v>
      </c>
      <c r="D165" s="682"/>
      <c r="E165" s="649">
        <f>IF($B$279='بيانات للادخال'!$A$2,1450/usdrate,1450)</f>
        <v>439.39393939393943</v>
      </c>
    </row>
    <row r="166" spans="1:5" hidden="1" outlineLevel="1">
      <c r="A166" s="681" t="s">
        <v>286</v>
      </c>
      <c r="B166" s="686"/>
      <c r="C166" s="683" t="s">
        <v>460</v>
      </c>
      <c r="D166" s="686"/>
      <c r="E166" s="720">
        <f>IF(D166='بيانات للادخال'!$M$2,التوصية!D165,SMALL(E164:E165,1))</f>
        <v>0</v>
      </c>
    </row>
    <row r="167" spans="1:5" hidden="1" outlineLevel="1">
      <c r="A167" s="695" t="s">
        <v>287</v>
      </c>
      <c r="B167" s="1293"/>
      <c r="C167" s="1293"/>
      <c r="D167" s="1293"/>
    </row>
    <row r="168" spans="1:5" collapsed="1">
      <c r="A168" s="1294" t="s">
        <v>3</v>
      </c>
      <c r="B168" s="1294"/>
      <c r="C168" s="1294"/>
      <c r="D168" s="1294"/>
    </row>
    <row r="169" spans="1:5" ht="23.25">
      <c r="A169" s="653" t="s">
        <v>404</v>
      </c>
      <c r="B169" s="362"/>
      <c r="C169" s="362"/>
      <c r="D169" s="362"/>
    </row>
    <row r="170" spans="1:5">
      <c r="A170" s="697" t="s">
        <v>209</v>
      </c>
      <c r="B170" s="698">
        <f>D6</f>
        <v>0</v>
      </c>
      <c r="C170" s="699" t="s">
        <v>238</v>
      </c>
      <c r="D170" s="700">
        <f>IF(FC=USD,'الحساب البنكي'!B7,IF(FC=ILS,'الحساب البنكي'!B7*usdrate,IF(FC=EUR,'الحساب البنكي'!B7/eurrate)))</f>
        <v>0</v>
      </c>
    </row>
    <row r="171" spans="1:5">
      <c r="A171" s="701" t="s">
        <v>154</v>
      </c>
      <c r="B171" s="648">
        <f>'الحساب البنكي'!A3</f>
        <v>0</v>
      </c>
      <c r="C171" s="701" t="s">
        <v>184</v>
      </c>
      <c r="D171" s="649">
        <f>IF(FC=USD,'الحساب البنكي'!F7,IF(FC=ILS,'الحساب البنكي'!F7*usdrate,IF(FC=EUR,'الحساب البنكي'!F7/eurrate)))</f>
        <v>0</v>
      </c>
    </row>
    <row r="172" spans="1:5">
      <c r="A172" s="701" t="s">
        <v>240</v>
      </c>
      <c r="B172" s="663" t="e">
        <f>'الحساب البنكي'!D1</f>
        <v>#NUM!</v>
      </c>
      <c r="C172" s="701" t="s">
        <v>181</v>
      </c>
      <c r="D172" s="649">
        <f>IF(FC=USD,'الحساب البنكي'!E7,IF(FC=ILS,'الحساب البنكي'!E7*usdrate,IF(FC=EUR,'الحساب البنكي'!E7/eurrate)))</f>
        <v>0</v>
      </c>
    </row>
    <row r="173" spans="1:5">
      <c r="A173" s="701" t="s">
        <v>241</v>
      </c>
      <c r="B173" s="663" t="e">
        <f>'الحساب البنكي'!F1</f>
        <v>#NUM!</v>
      </c>
      <c r="C173" s="701" t="s">
        <v>180</v>
      </c>
      <c r="D173" s="649">
        <f>IF(FC=USD,'الحساب البنكي'!C7,IF(FC=ILS,'الحساب البنكي'!C7*usdrate,IF(FC=EUR,'الحساب البنكي'!C7/eurrate)))</f>
        <v>0</v>
      </c>
    </row>
    <row r="174" spans="1:5">
      <c r="A174" s="701" t="s">
        <v>242</v>
      </c>
      <c r="B174" s="648">
        <f>ROUND(LARGE('الحساب البنكي'!P3:P18,1),1)</f>
        <v>0</v>
      </c>
      <c r="C174" s="701" t="s">
        <v>239</v>
      </c>
      <c r="D174" s="649">
        <f>IF(FC=USD,'الحساب البنكي'!D7,IF(FC=ILS,'الحساب البنكي'!D7*usdrate,IF(FC=EUR,'الحساب البنكي'!D7/eurrate)))</f>
        <v>0</v>
      </c>
    </row>
    <row r="175" spans="1:5">
      <c r="A175" s="702" t="s">
        <v>182</v>
      </c>
      <c r="B175" s="703">
        <f>IF(FC=USD,'الحساب البنكي'!G7,IF(FC=ILS,'الحساب البنكي'!G7*usdrate,IF(FC=EUR,'الحساب البنكي'!G7/eurrate)))</f>
        <v>0</v>
      </c>
      <c r="C175" s="702" t="s">
        <v>183</v>
      </c>
      <c r="D175" s="703">
        <f>IF(FC=USD,'الحساب البنكي'!H7,IF(FC=ILS,'الحساب البنكي'!H7*usdrate,IF(FC=EUR,'الحساب البنكي'!H7/eurrate)))</f>
        <v>0</v>
      </c>
    </row>
    <row r="176" spans="1:5">
      <c r="A176" s="697" t="s">
        <v>209</v>
      </c>
      <c r="B176" s="698">
        <f>'الحساب البنكي'!A21</f>
        <v>0</v>
      </c>
      <c r="C176" s="699" t="s">
        <v>238</v>
      </c>
      <c r="D176" s="700">
        <f>IF(FC=USD,'الحساب البنكي'!B27,IF(FC=ILS,'الحساب البنكي'!B27*usdrate,IF(FC=EUR,'الحساب البنكي'!B27/eurrate)))</f>
        <v>0</v>
      </c>
    </row>
    <row r="177" spans="1:4">
      <c r="A177" s="701" t="s">
        <v>154</v>
      </c>
      <c r="B177" s="648">
        <f>'الحساب البنكي'!A23</f>
        <v>0</v>
      </c>
      <c r="C177" s="701" t="s">
        <v>184</v>
      </c>
      <c r="D177" s="649">
        <f>IF(FC=USD,'الحساب البنكي'!F27,IF(FC=ILS,'الحساب البنكي'!F27*usdrate,IF(FC=EUR,'الحساب البنكي'!F27/eurrate)))</f>
        <v>0</v>
      </c>
    </row>
    <row r="178" spans="1:4">
      <c r="A178" s="701" t="s">
        <v>240</v>
      </c>
      <c r="B178" s="663" t="e">
        <f>'الحساب البنكي'!D21</f>
        <v>#NUM!</v>
      </c>
      <c r="C178" s="701" t="s">
        <v>181</v>
      </c>
      <c r="D178" s="649">
        <f>IF(FC=USD,'الحساب البنكي'!E27,IF(FC=ILS,'الحساب البنكي'!E27*usdrate,IF(FC=EUR,'الحساب البنكي'!E27/eurrate)))</f>
        <v>0</v>
      </c>
    </row>
    <row r="179" spans="1:4">
      <c r="A179" s="701" t="s">
        <v>241</v>
      </c>
      <c r="B179" s="663" t="e">
        <f>'الحساب البنكي'!F21</f>
        <v>#NUM!</v>
      </c>
      <c r="C179" s="701" t="s">
        <v>180</v>
      </c>
      <c r="D179" s="649">
        <f>IF(FC=USD,'الحساب البنكي'!C27,IF(FC=ILS,'الحساب البنكي'!C27*usdrate,IF(FC=EUR,'الحساب البنكي'!C27/eurrate)))</f>
        <v>0</v>
      </c>
    </row>
    <row r="180" spans="1:4">
      <c r="A180" s="701" t="s">
        <v>242</v>
      </c>
      <c r="B180" s="648">
        <f>ROUND(LARGE('الحساب البنكي'!P23:P38,1),1)</f>
        <v>0</v>
      </c>
      <c r="C180" s="701" t="s">
        <v>239</v>
      </c>
      <c r="D180" s="649">
        <f>IF(FC=USD,'الحساب البنكي'!D27,IF(FC=ILS,'الحساب البنكي'!D27*usdrate,IF(FC=EUR,'الحساب البنكي'!D27/eurrate)))</f>
        <v>0</v>
      </c>
    </row>
    <row r="181" spans="1:4">
      <c r="A181" s="702" t="s">
        <v>182</v>
      </c>
      <c r="B181" s="703">
        <f>IF(FC=USD,'الحساب البنكي'!G27,IF(FC=ILS,'الحساب البنكي'!G27*usdrate,IF(FC=EUR,'الحساب البنكي'!G27/eurrate)))</f>
        <v>0</v>
      </c>
      <c r="C181" s="702" t="s">
        <v>183</v>
      </c>
      <c r="D181" s="703">
        <f>IF(FC=USD,'الحساب البنكي'!H27,IF(FC=ILS,'الحساب البنكي'!H27*usdrate,IF(FC=EUR,'الحساب البنكي'!H27/eurrate)))</f>
        <v>0</v>
      </c>
    </row>
    <row r="182" spans="1:4" hidden="1">
      <c r="A182" s="697" t="s">
        <v>209</v>
      </c>
      <c r="B182" s="698">
        <f>'الحساب البنكي'!K41</f>
        <v>0</v>
      </c>
      <c r="C182" s="699" t="s">
        <v>238</v>
      </c>
      <c r="D182" s="700">
        <f>IF(FC=USD,'الحساب البنكي'!B47,IF(FC=ILS,'الحساب البنكي'!B47*usdrate,IF(FC=EUR,'الحساب البنكي'!B47/eurrate)))</f>
        <v>0</v>
      </c>
    </row>
    <row r="183" spans="1:4" hidden="1">
      <c r="A183" s="701" t="s">
        <v>154</v>
      </c>
      <c r="B183" s="648">
        <f>'الحساب البنكي'!A43</f>
        <v>0</v>
      </c>
      <c r="C183" s="701" t="s">
        <v>184</v>
      </c>
      <c r="D183" s="649">
        <f>IF(FC=USD,'الحساب البنكي'!F47,IF(FC=ILS,'الحساب البنكي'!F47*usdrate,IF(FC=EUR,'الحساب البنكي'!F47/eurrate)))</f>
        <v>0</v>
      </c>
    </row>
    <row r="184" spans="1:4" hidden="1">
      <c r="A184" s="701" t="s">
        <v>240</v>
      </c>
      <c r="B184" s="663" t="e">
        <f>'الحساب البنكي'!D41</f>
        <v>#NUM!</v>
      </c>
      <c r="C184" s="701" t="s">
        <v>181</v>
      </c>
      <c r="D184" s="649">
        <f>IF(FC=USD,'الحساب البنكي'!E47,IF(FC=ILS,'الحساب البنكي'!E47*usdrate,IF(FC=EUR,'الحساب البنكي'!E47/eurrate)))</f>
        <v>0</v>
      </c>
    </row>
    <row r="185" spans="1:4" hidden="1">
      <c r="A185" s="701" t="s">
        <v>241</v>
      </c>
      <c r="B185" s="663" t="e">
        <f>'الحساب البنكي'!F41</f>
        <v>#NUM!</v>
      </c>
      <c r="C185" s="701" t="s">
        <v>180</v>
      </c>
      <c r="D185" s="649">
        <f>IF(FC=USD,'الحساب البنكي'!C47,IF(FC=ILS,'الحساب البنكي'!C47*usdrate,IF(FC=EUR,'الحساب البنكي'!C47/eurrate)))</f>
        <v>0</v>
      </c>
    </row>
    <row r="186" spans="1:4" hidden="1">
      <c r="A186" s="701" t="s">
        <v>242</v>
      </c>
      <c r="B186" s="648">
        <f>ROUND(LARGE('الحساب البنكي'!P43:P58,1),1)</f>
        <v>0</v>
      </c>
      <c r="C186" s="701" t="s">
        <v>239</v>
      </c>
      <c r="D186" s="649">
        <f>IF(FC=USD,'الحساب البنكي'!D47,IF(FC=ILS,'الحساب البنكي'!D47*usdrate,IF(FC=EUR,'الحساب البنكي'!D47/eurrate)))</f>
        <v>0</v>
      </c>
    </row>
    <row r="187" spans="1:4" hidden="1">
      <c r="A187" s="702" t="s">
        <v>182</v>
      </c>
      <c r="B187" s="703">
        <f>IF(FC=USD,'الحساب البنكي'!G47,IF(FC=ILS,'الحساب البنكي'!G47*usdrate,IF(FC=EUR,'الحساب البنكي'!G47/eurrate)))</f>
        <v>0</v>
      </c>
      <c r="C187" s="702" t="s">
        <v>183</v>
      </c>
      <c r="D187" s="703">
        <f>IF(FC=USD,'الحساب البنكي'!H47,IF(FC=ILS,'الحساب البنكي'!H47*usdrate,IF(FC=EUR,'الحساب البنكي'!H47/eurrate)))</f>
        <v>0</v>
      </c>
    </row>
    <row r="188" spans="1:4" hidden="1">
      <c r="A188" s="697" t="s">
        <v>209</v>
      </c>
      <c r="B188" s="698">
        <f>'الحساب البنكي'!K61</f>
        <v>0</v>
      </c>
      <c r="C188" s="699" t="s">
        <v>238</v>
      </c>
      <c r="D188" s="700">
        <f>IF(FC=USD,'الحساب البنكي'!B67,IF(FC=ILS,'الحساب البنكي'!B67*usdrate,IF(FC=EUR,'الحساب البنكي'!B67/eurrate)))</f>
        <v>0</v>
      </c>
    </row>
    <row r="189" spans="1:4" hidden="1">
      <c r="A189" s="701" t="s">
        <v>154</v>
      </c>
      <c r="B189" s="648">
        <f>'الحساب البنكي'!A63</f>
        <v>0</v>
      </c>
      <c r="C189" s="701" t="s">
        <v>184</v>
      </c>
      <c r="D189" s="649">
        <f>IF(FC=USD,'الحساب البنكي'!F67,IF(FC=ILS,'الحساب البنكي'!F67*usdrate,IF(FC=EUR,'الحساب البنكي'!F67/eurrate)))</f>
        <v>0</v>
      </c>
    </row>
    <row r="190" spans="1:4" hidden="1">
      <c r="A190" s="701" t="s">
        <v>240</v>
      </c>
      <c r="B190" s="663" t="e">
        <f>'الحساب البنكي'!D61</f>
        <v>#NUM!</v>
      </c>
      <c r="C190" s="701" t="s">
        <v>181</v>
      </c>
      <c r="D190" s="649">
        <f>IF(FC=USD,'الحساب البنكي'!E67,IF(FC=ILS,'الحساب البنكي'!E67*usdrate,IF(FC=EUR,'الحساب البنكي'!E67/eurrate)))</f>
        <v>0</v>
      </c>
    </row>
    <row r="191" spans="1:4" hidden="1">
      <c r="A191" s="701" t="s">
        <v>241</v>
      </c>
      <c r="B191" s="663" t="e">
        <f>'الحساب البنكي'!F61</f>
        <v>#NUM!</v>
      </c>
      <c r="C191" s="701" t="s">
        <v>180</v>
      </c>
      <c r="D191" s="649">
        <f>IF(FC=USD,'الحساب البنكي'!C67,IF(FC=ILS,'الحساب البنكي'!C67*usdrate,IF(FC=EUR,'الحساب البنكي'!C67/eurrate)))</f>
        <v>0</v>
      </c>
    </row>
    <row r="192" spans="1:4" hidden="1">
      <c r="A192" s="701" t="s">
        <v>242</v>
      </c>
      <c r="B192" s="648">
        <f>ROUND(LARGE('الحساب البنكي'!P63:P78,1),1)</f>
        <v>0</v>
      </c>
      <c r="C192" s="701" t="s">
        <v>239</v>
      </c>
      <c r="D192" s="649">
        <f>IF(FC=USD,'الحساب البنكي'!D67,IF(FC=ILS,'الحساب البنكي'!D67*usdrate,IF(FC=EUR,'الحساب البنكي'!D67/eurrate)))</f>
        <v>0</v>
      </c>
    </row>
    <row r="193" spans="1:4" hidden="1">
      <c r="A193" s="702" t="s">
        <v>182</v>
      </c>
      <c r="B193" s="703">
        <f>IF(FC=USD,'الحساب البنكي'!G67,IF(FC=ILS,'الحساب البنكي'!G67*usdrate,IF(FC=EUR,'الحساب البنكي'!G67/eurrate)))</f>
        <v>0</v>
      </c>
      <c r="C193" s="702" t="s">
        <v>183</v>
      </c>
      <c r="D193" s="703">
        <f>IF(FC=USD,'الحساب البنكي'!H67,IF(FC=ILS,'الحساب البنكي'!H67*usdrate,IF(FC=EUR,'الحساب البنكي'!H67/eurrate)))</f>
        <v>0</v>
      </c>
    </row>
    <row r="194" spans="1:4">
      <c r="A194" s="1294" t="s">
        <v>3</v>
      </c>
      <c r="B194" s="1294"/>
      <c r="C194" s="1294"/>
      <c r="D194" s="1294"/>
    </row>
    <row r="195" spans="1:4" ht="23.25">
      <c r="A195" s="653" t="s">
        <v>403</v>
      </c>
      <c r="B195" s="362"/>
      <c r="C195" s="362"/>
      <c r="D195" s="362"/>
    </row>
    <row r="196" spans="1:4">
      <c r="A196" s="704" t="s">
        <v>209</v>
      </c>
      <c r="B196" s="698">
        <f>الاستعلام!C3</f>
        <v>0</v>
      </c>
      <c r="C196" s="704" t="s">
        <v>247</v>
      </c>
      <c r="D196" s="938"/>
    </row>
    <row r="197" spans="1:4">
      <c r="A197" s="705" t="s">
        <v>248</v>
      </c>
      <c r="B197" s="649">
        <f>IF(FC=USD,الاستعلام!J128,IF(FC=ILS,الاستعلام!J128*usdrate,IF(FC=EUR,الاستعلام!J128/eurrate)))</f>
        <v>0</v>
      </c>
      <c r="C197" s="705" t="s">
        <v>249</v>
      </c>
      <c r="D197" s="649">
        <f>IF(FC=USD,الاستعلام!J386,IF(FC=ILS,الاستعلام!J386*usdrate,IF(FC=EUR,الاستعلام!J386/eurrate)))</f>
        <v>0</v>
      </c>
    </row>
    <row r="198" spans="1:4">
      <c r="A198" s="705" t="s">
        <v>246</v>
      </c>
      <c r="B198" s="649">
        <f>IF(FC=USD,الاستعلام!K128,IF(FC=ILS,الاستعلام!K128*usdrate,IF(FC=EUR,الاستعلام!K128/eurrate)))</f>
        <v>0</v>
      </c>
      <c r="C198" s="705" t="s">
        <v>245</v>
      </c>
      <c r="D198" s="649">
        <f>IF(FC=USD,الاستعلام!L128,IF(FC=ILS,الاستعلام!L128*usdrate,IF(FC=EUR,الاستعلام!L128/eurrate)))</f>
        <v>0</v>
      </c>
    </row>
    <row r="199" spans="1:4">
      <c r="A199" s="705" t="s">
        <v>151</v>
      </c>
      <c r="B199" s="648">
        <f>الاستعلام!D3</f>
        <v>0</v>
      </c>
      <c r="C199" s="705" t="s">
        <v>159</v>
      </c>
      <c r="D199" s="665" t="s">
        <v>53</v>
      </c>
    </row>
    <row r="200" spans="1:4">
      <c r="A200" s="705" t="s">
        <v>1594</v>
      </c>
      <c r="B200" s="1041"/>
      <c r="C200" s="705" t="s">
        <v>1595</v>
      </c>
      <c r="D200" s="1179"/>
    </row>
    <row r="201" spans="1:4">
      <c r="A201" s="705" t="s">
        <v>244</v>
      </c>
      <c r="B201" s="649">
        <f>IF(FC=USD,الاستعلام!N128,IF(FC=ILS,الاستعلام!N128*usdrate,IF(FC=EUR,الاستعلام!N128/eurrate)))</f>
        <v>0</v>
      </c>
      <c r="C201" s="705" t="s">
        <v>243</v>
      </c>
      <c r="D201" s="671">
        <f>الاستعلام!O128</f>
        <v>0</v>
      </c>
    </row>
    <row r="202" spans="1:4">
      <c r="A202" s="942" t="s">
        <v>250</v>
      </c>
      <c r="B202" s="674">
        <f>IF(FC=USD,الاستعلام!P128,IF(FC=ILS,الاستعلام!P128*usdrate,IF(FC=EUR,الاستعلام!P128/eurrate)))</f>
        <v>0</v>
      </c>
      <c r="C202" s="943" t="s">
        <v>251</v>
      </c>
      <c r="D202" s="674">
        <f>IF(FC=USD,الاستعلام!Q386,IF(FC=ILS,الاستعلام!Q386*usdrate,IF(FC=EUR,الاستعلام!Q386/eurrate)))</f>
        <v>0</v>
      </c>
    </row>
    <row r="203" spans="1:4">
      <c r="A203" s="748" t="s">
        <v>209</v>
      </c>
      <c r="B203" s="690">
        <f>الاستعلام!C387</f>
        <v>0</v>
      </c>
      <c r="C203" s="748" t="s">
        <v>247</v>
      </c>
      <c r="D203" s="938"/>
    </row>
    <row r="204" spans="1:4">
      <c r="A204" s="706" t="s">
        <v>248</v>
      </c>
      <c r="B204" s="649">
        <f>IF(FC=USD,الاستعلام!J512,IF(FC=ILS,الاستعلام!J512*usdrate,IF(FC=EUR,الاستعلام!J512/eurrate)))</f>
        <v>0</v>
      </c>
      <c r="C204" s="706" t="s">
        <v>249</v>
      </c>
      <c r="D204" s="649">
        <f>IF(FC=USD,الاستعلام!J770,IF(FC=ILS,الاستعلام!J770*usdrate,IF(FC=EUR,الاستعلام!J770/eurrate)))</f>
        <v>0</v>
      </c>
    </row>
    <row r="205" spans="1:4">
      <c r="A205" s="705" t="s">
        <v>246</v>
      </c>
      <c r="B205" s="649">
        <f>IF(FC=USD,الاستعلام!K512,IF(FC=ILS,الاستعلام!K512*usdrate,IF(FC=EUR,الاستعلام!K512/eurrate)))</f>
        <v>0</v>
      </c>
      <c r="C205" s="706" t="s">
        <v>245</v>
      </c>
      <c r="D205" s="649">
        <f>IF(FC=USD,الاستعلام!L512,IF(FC=ILS,الاستعلام!L512*usdrate,IF(FC=EUR,الاستعلام!L512/eurrate)))</f>
        <v>0</v>
      </c>
    </row>
    <row r="206" spans="1:4">
      <c r="A206" s="705" t="s">
        <v>151</v>
      </c>
      <c r="B206" s="648">
        <f>الاستعلام!D387</f>
        <v>0</v>
      </c>
      <c r="C206" s="706" t="s">
        <v>159</v>
      </c>
      <c r="D206" s="1179" t="s">
        <v>53</v>
      </c>
    </row>
    <row r="207" spans="1:4">
      <c r="A207" s="705" t="s">
        <v>1594</v>
      </c>
      <c r="B207" s="1041"/>
      <c r="C207" s="705" t="s">
        <v>1595</v>
      </c>
      <c r="D207" s="1179"/>
    </row>
    <row r="208" spans="1:4">
      <c r="A208" s="706" t="s">
        <v>244</v>
      </c>
      <c r="B208" s="649">
        <f>IF(FC=USD,الاستعلام!N512,IF(FC=ILS,الاستعلام!N512*usdrate,IF(FC=EUR,الاستعلام!N512/eurrate)))</f>
        <v>0</v>
      </c>
      <c r="C208" s="706" t="s">
        <v>243</v>
      </c>
      <c r="D208" s="671">
        <f>الاستعلام!O512</f>
        <v>0</v>
      </c>
    </row>
    <row r="209" spans="1:4">
      <c r="A209" s="940" t="s">
        <v>250</v>
      </c>
      <c r="B209" s="674">
        <f>IF(FC=USD,الاستعلام!P512,IF(FC=ILS,الاستعلام!P512*usdrate,IF(FC=EUR,الاستعلام!P512/eurrate)))</f>
        <v>0</v>
      </c>
      <c r="C209" s="941" t="s">
        <v>251</v>
      </c>
      <c r="D209" s="674">
        <f>IF(FC=USD,الاستعلام!Q770,IF(FC=ILS,الاستعلام!Q770*usdrate,IF(FC=EUR,الاستعلام!Q770/eurrate)))</f>
        <v>0</v>
      </c>
    </row>
    <row r="210" spans="1:4" hidden="1">
      <c r="A210" s="749" t="s">
        <v>209</v>
      </c>
      <c r="B210" s="690">
        <f>الاستعلام!C771</f>
        <v>0</v>
      </c>
      <c r="C210" s="749" t="s">
        <v>247</v>
      </c>
      <c r="D210" s="938"/>
    </row>
    <row r="211" spans="1:4" hidden="1">
      <c r="A211" s="706" t="s">
        <v>248</v>
      </c>
      <c r="B211" s="649">
        <f>IF(FC=USD,الاستعلام!J896,IF(FC=ILS,الاستعلام!J896*usdrate,IF(FC=EUR,الاستعلام!J896/eurrate)))</f>
        <v>0</v>
      </c>
      <c r="C211" s="706" t="s">
        <v>249</v>
      </c>
      <c r="D211" s="649">
        <f>IF(FC=USD,الاستعلام!J1154,IF(FC=ILS,الاستعلام!J1154*usdrate,IF(FC=EUR,الاستعلام!J1154/eurrate)))</f>
        <v>0</v>
      </c>
    </row>
    <row r="212" spans="1:4" hidden="1">
      <c r="A212" s="706" t="s">
        <v>246</v>
      </c>
      <c r="B212" s="649">
        <f>IF(FC=USD,الاستعلام!K896,IF(FC=ILS,الاستعلام!K896*usdrate,IF(FC=EUR,الاستعلام!K896/eurrate)))</f>
        <v>0</v>
      </c>
      <c r="C212" s="706" t="s">
        <v>245</v>
      </c>
      <c r="D212" s="649">
        <f>IF(FC=USD,الاستعلام!L896,IF(FC=ILS,الاستعلام!L896*usdrate,IF(FC=EUR,الاستعلام!L896/eurrate)))</f>
        <v>0</v>
      </c>
    </row>
    <row r="213" spans="1:4" hidden="1">
      <c r="A213" s="706" t="s">
        <v>151</v>
      </c>
      <c r="B213" s="648">
        <f>الاستعلام!D771</f>
        <v>0</v>
      </c>
      <c r="C213" s="706" t="s">
        <v>159</v>
      </c>
      <c r="D213" s="1179" t="s">
        <v>53</v>
      </c>
    </row>
    <row r="214" spans="1:4" hidden="1">
      <c r="A214" s="705" t="s">
        <v>1594</v>
      </c>
      <c r="B214" s="1041"/>
      <c r="C214" s="705" t="s">
        <v>1595</v>
      </c>
      <c r="D214" s="1179"/>
    </row>
    <row r="215" spans="1:4" hidden="1">
      <c r="A215" s="706" t="s">
        <v>244</v>
      </c>
      <c r="B215" s="649">
        <f>IF(FC=USD,الاستعلام!N896,IF(FC=ILS,الاستعلام!N896*usdrate,IF(FC=EUR,الاستعلام!N896/eurrate)))</f>
        <v>0</v>
      </c>
      <c r="C215" s="706" t="s">
        <v>243</v>
      </c>
      <c r="D215" s="671">
        <f>الاستعلام!O896</f>
        <v>0</v>
      </c>
    </row>
    <row r="216" spans="1:4" hidden="1">
      <c r="A216" s="940" t="s">
        <v>250</v>
      </c>
      <c r="B216" s="674">
        <f>IF(FC=USD,الاستعلام!P896,IF(FC=ILS,الاستعلام!P896*usdrate,IF(FC=EUR,الاستعلام!P896/eurrate)))</f>
        <v>0</v>
      </c>
      <c r="C216" s="941" t="s">
        <v>251</v>
      </c>
      <c r="D216" s="674">
        <f>IF(FC=USD,الاستعلام!Q1154,IF(FC=ILS,الاستعلام!Q1154*usdrate,IF(FC=EUR,الاستعلام!Q1154/eurrate)))</f>
        <v>0</v>
      </c>
    </row>
    <row r="217" spans="1:4" hidden="1">
      <c r="A217" s="749" t="s">
        <v>209</v>
      </c>
      <c r="B217" s="690">
        <f>الاستعلام!C1155</f>
        <v>0</v>
      </c>
      <c r="C217" s="749" t="s">
        <v>247</v>
      </c>
      <c r="D217" s="938"/>
    </row>
    <row r="218" spans="1:4" hidden="1">
      <c r="A218" s="706" t="s">
        <v>248</v>
      </c>
      <c r="B218" s="649">
        <f>IF(FC=USD,الاستعلام!J1280,IF(FC=ILS,الاستعلام!J1280*usdrate,IF(FC=EUR,الاستعلام!J1280/eurrate)))</f>
        <v>0</v>
      </c>
      <c r="C218" s="706" t="s">
        <v>249</v>
      </c>
      <c r="D218" s="649">
        <f>IF(FC=USD,الاستعلام!J1538,IF(FC=ILS,الاستعلام!J1538*usdrate,IF(FC=EUR,الاستعلام!J1538/eurrate)))</f>
        <v>0</v>
      </c>
    </row>
    <row r="219" spans="1:4" hidden="1">
      <c r="A219" s="706" t="s">
        <v>246</v>
      </c>
      <c r="B219" s="649">
        <f>IF(FC=USD,الاستعلام!K1280,IF(FC=ILS,الاستعلام!K1280*usdrate,IF(FC=EUR,الاستعلام!K1280/eurrate)))</f>
        <v>0</v>
      </c>
      <c r="C219" s="706" t="s">
        <v>245</v>
      </c>
      <c r="D219" s="649">
        <f>IF(FC=USD,الاستعلام!L1280,IF(FC=ILS,الاستعلام!L1280*usdrate,IF(FC=EUR,الاستعلام!L1280/eurrate)))</f>
        <v>0</v>
      </c>
    </row>
    <row r="220" spans="1:4" hidden="1">
      <c r="A220" s="706" t="s">
        <v>151</v>
      </c>
      <c r="B220" s="648">
        <f>الاستعلام!D1155</f>
        <v>0</v>
      </c>
      <c r="C220" s="706" t="s">
        <v>159</v>
      </c>
      <c r="D220" s="665" t="s">
        <v>53</v>
      </c>
    </row>
    <row r="221" spans="1:4" hidden="1">
      <c r="A221" s="705" t="s">
        <v>1594</v>
      </c>
      <c r="B221" s="665"/>
      <c r="C221" s="705" t="s">
        <v>1595</v>
      </c>
      <c r="D221" s="1179"/>
    </row>
    <row r="222" spans="1:4" hidden="1">
      <c r="A222" s="706" t="s">
        <v>244</v>
      </c>
      <c r="B222" s="649">
        <f>IF(FC=USD,الاستعلام!N1280,IF(FC=ILS,الاستعلام!N1280*usdrate,IF(FC=EUR,الاستعلام!N1280/eurrate)))</f>
        <v>0</v>
      </c>
      <c r="C222" s="706" t="s">
        <v>243</v>
      </c>
      <c r="D222" s="671">
        <f>الاستعلام!O1280</f>
        <v>0</v>
      </c>
    </row>
    <row r="223" spans="1:4" hidden="1">
      <c r="A223" s="940" t="s">
        <v>250</v>
      </c>
      <c r="B223" s="674">
        <f>IF(FC=USD,الاستعلام!P1280,IF(FC=ILS,الاستعلام!P1280*usdrate,IF(FC=EUR,الاستعلام!P1280/eurrate)))</f>
        <v>0</v>
      </c>
      <c r="C223" s="941" t="s">
        <v>251</v>
      </c>
      <c r="D223" s="674">
        <f>IF(FC=USD,الاستعلام!Q1538,IF(FC=ILS,الاستعلام!Q1538*usdrate,IF(FC=EUR,الاستعلام!Q1538/eurrate)))</f>
        <v>0</v>
      </c>
    </row>
    <row r="224" spans="1:4" hidden="1">
      <c r="A224" s="749" t="s">
        <v>209</v>
      </c>
      <c r="B224" s="690">
        <f>الاستعلام!C1539</f>
        <v>0</v>
      </c>
      <c r="C224" s="749" t="s">
        <v>247</v>
      </c>
      <c r="D224" s="939"/>
    </row>
    <row r="225" spans="1:4" hidden="1">
      <c r="A225" s="706" t="s">
        <v>248</v>
      </c>
      <c r="B225" s="649">
        <f>IF(FC=USD,الاستعلام!J1664,IF(FC=ILS,الاستعلام!J1664*usdrate,IF(FC=EUR,الاستعلام!J1664/eurrate)))</f>
        <v>0</v>
      </c>
      <c r="C225" s="706" t="s">
        <v>249</v>
      </c>
      <c r="D225" s="649">
        <f>IF(FC=USD,الاستعلام!J1922,IF(FC=ILS,الاستعلام!J1922*usdrate,IF(FC=EUR,الاستعلام!J1922/eurrate)))</f>
        <v>0</v>
      </c>
    </row>
    <row r="226" spans="1:4" hidden="1">
      <c r="A226" s="706" t="s">
        <v>246</v>
      </c>
      <c r="B226" s="649">
        <f>IF(FC=USD,الاستعلام!K1664,IF(FC=ILS,الاستعلام!K1664*usdrate,IF(FC=EUR,الاستعلام!K1664/eurrate)))</f>
        <v>0</v>
      </c>
      <c r="C226" s="706" t="s">
        <v>245</v>
      </c>
      <c r="D226" s="649">
        <f>IF(FC=USD,الاستعلام!L1664,IF(FC=ILS,الاستعلام!L1664*usdrate,IF(FC=EUR,الاستعلام!L1664/eurrate)))</f>
        <v>0</v>
      </c>
    </row>
    <row r="227" spans="1:4" hidden="1">
      <c r="A227" s="706" t="s">
        <v>151</v>
      </c>
      <c r="B227" s="648">
        <f>الاستعلام!D1539</f>
        <v>0</v>
      </c>
      <c r="C227" s="706" t="s">
        <v>159</v>
      </c>
      <c r="D227" s="665"/>
    </row>
    <row r="228" spans="1:4" hidden="1">
      <c r="A228" s="705" t="s">
        <v>1594</v>
      </c>
      <c r="B228" s="1041"/>
      <c r="C228" s="705" t="s">
        <v>1595</v>
      </c>
      <c r="D228" s="1041"/>
    </row>
    <row r="229" spans="1:4" hidden="1">
      <c r="A229" s="706" t="s">
        <v>244</v>
      </c>
      <c r="B229" s="649">
        <f>IF(FC=USD,الاستعلام!N1664,IF(FC=ILS,الاستعلام!N1664*usdrate,IF(FC=EUR,الاستعلام!N1664/eurrate)))</f>
        <v>0</v>
      </c>
      <c r="C229" s="706" t="s">
        <v>243</v>
      </c>
      <c r="D229" s="671">
        <f>الاستعلام!O1664</f>
        <v>0</v>
      </c>
    </row>
    <row r="230" spans="1:4" hidden="1">
      <c r="A230" s="707" t="s">
        <v>250</v>
      </c>
      <c r="B230" s="703">
        <f>IF(FC=USD,الاستعلام!P1664,IF(FC=ILS,الاستعلام!P1664*usdrate,IF(FC=EUR,الاستعلام!P1664/eurrate)))</f>
        <v>0</v>
      </c>
      <c r="C230" s="708" t="s">
        <v>251</v>
      </c>
      <c r="D230" s="703">
        <f>IF(FC=USD,الاستعلام!Q1922,IF(FC=ILS,الاستعلام!Q1922*usdrate,IF(FC=EUR,الاستعلام!Q1922/eurrate)))</f>
        <v>0</v>
      </c>
    </row>
    <row r="231" spans="1:4">
      <c r="A231" s="1294" t="s">
        <v>3</v>
      </c>
      <c r="B231" s="1294"/>
      <c r="C231" s="1294"/>
      <c r="D231" s="1294"/>
    </row>
    <row r="232" spans="1:4" ht="23.25" hidden="1">
      <c r="A232" s="653" t="s">
        <v>405</v>
      </c>
      <c r="B232" s="362"/>
      <c r="C232" s="362"/>
      <c r="D232" s="362"/>
    </row>
    <row r="233" spans="1:4" hidden="1">
      <c r="A233" s="711" t="s">
        <v>209</v>
      </c>
      <c r="B233" s="711" t="s">
        <v>500</v>
      </c>
      <c r="C233" s="710" t="str">
        <f>IF(FC=USD,"القيمة (دولار)",IF(FC=ILS,"القيمة (شيكل)",IF(FC=EUR,"القيمة (يورو)")))</f>
        <v>القيمة (دولار)</v>
      </c>
      <c r="D233" s="711" t="s">
        <v>501</v>
      </c>
    </row>
    <row r="234" spans="1:4" hidden="1">
      <c r="A234" s="750">
        <f>A291</f>
        <v>0</v>
      </c>
      <c r="B234" s="751" t="s">
        <v>117</v>
      </c>
      <c r="C234" s="752" t="s">
        <v>53</v>
      </c>
      <c r="D234" s="750" t="s">
        <v>53</v>
      </c>
    </row>
    <row r="235" spans="1:4" hidden="1">
      <c r="A235" s="753">
        <f>A292</f>
        <v>0</v>
      </c>
      <c r="B235" s="751" t="s">
        <v>117</v>
      </c>
      <c r="C235" s="752" t="s">
        <v>53</v>
      </c>
      <c r="D235" s="750" t="s">
        <v>53</v>
      </c>
    </row>
    <row r="236" spans="1:4" hidden="1">
      <c r="A236" s="753">
        <f>A293</f>
        <v>0</v>
      </c>
      <c r="B236" s="751" t="s">
        <v>117</v>
      </c>
      <c r="C236" s="752" t="s">
        <v>53</v>
      </c>
      <c r="D236" s="750" t="s">
        <v>53</v>
      </c>
    </row>
    <row r="237" spans="1:4" hidden="1">
      <c r="A237" s="753">
        <f>A294</f>
        <v>0</v>
      </c>
      <c r="B237" s="751" t="s">
        <v>117</v>
      </c>
      <c r="C237" s="752" t="s">
        <v>53</v>
      </c>
      <c r="D237" s="750" t="s">
        <v>53</v>
      </c>
    </row>
    <row r="238" spans="1:4" hidden="1">
      <c r="A238" s="754">
        <f>A295</f>
        <v>0</v>
      </c>
      <c r="B238" s="755"/>
      <c r="C238" s="756"/>
      <c r="D238" s="754"/>
    </row>
    <row r="239" spans="1:4" hidden="1">
      <c r="A239" s="712"/>
      <c r="B239" s="712"/>
      <c r="C239" s="712"/>
      <c r="D239" s="712"/>
    </row>
    <row r="240" spans="1:4" ht="23.25">
      <c r="A240" s="1298" t="s">
        <v>1593</v>
      </c>
      <c r="B240" s="1298"/>
      <c r="C240" s="1298"/>
      <c r="D240" s="1298"/>
    </row>
    <row r="241" spans="1:23" hidden="1">
      <c r="A241" s="1040"/>
      <c r="B241" s="1040"/>
      <c r="C241" s="1040"/>
      <c r="D241" s="1040"/>
    </row>
    <row r="242" spans="1:23" ht="23.25">
      <c r="A242" s="653" t="s">
        <v>390</v>
      </c>
      <c r="B242" s="362"/>
      <c r="C242" s="362"/>
      <c r="D242" s="362"/>
    </row>
    <row r="243" spans="1:23">
      <c r="A243" s="654" t="s">
        <v>296</v>
      </c>
      <c r="B243" s="655"/>
      <c r="C243" s="656" t="s">
        <v>616</v>
      </c>
      <c r="D243" s="635"/>
      <c r="V243" s="657" t="s">
        <v>211</v>
      </c>
    </row>
    <row r="244" spans="1:23">
      <c r="A244" s="656" t="s">
        <v>517</v>
      </c>
      <c r="B244" s="655" t="s">
        <v>518</v>
      </c>
      <c r="C244" s="656" t="s">
        <v>520</v>
      </c>
      <c r="D244" s="655" t="s">
        <v>554</v>
      </c>
      <c r="V244" s="657"/>
    </row>
    <row r="245" spans="1:23">
      <c r="A245" s="656" t="s">
        <v>411</v>
      </c>
      <c r="B245" s="655" t="s">
        <v>110</v>
      </c>
      <c r="C245" s="656" t="s">
        <v>420</v>
      </c>
      <c r="D245" s="655" t="s">
        <v>111</v>
      </c>
      <c r="V245" s="657"/>
    </row>
    <row r="246" spans="1:23">
      <c r="A246" s="658" t="s">
        <v>416</v>
      </c>
      <c r="B246" s="655" t="s">
        <v>392</v>
      </c>
      <c r="C246" s="659" t="s">
        <v>291</v>
      </c>
      <c r="D246" s="655" t="s">
        <v>1622</v>
      </c>
      <c r="V246" s="657"/>
    </row>
    <row r="247" spans="1:23" hidden="1">
      <c r="A247" s="658" t="s">
        <v>297</v>
      </c>
      <c r="B247" s="655"/>
      <c r="C247" s="659" t="s">
        <v>294</v>
      </c>
      <c r="D247" s="945"/>
      <c r="V247" s="657" t="s">
        <v>212</v>
      </c>
    </row>
    <row r="248" spans="1:23">
      <c r="A248" s="658" t="s">
        <v>298</v>
      </c>
      <c r="B248" s="655" t="s">
        <v>116</v>
      </c>
      <c r="C248" s="660" t="s">
        <v>299</v>
      </c>
      <c r="D248" s="655" t="s">
        <v>112</v>
      </c>
      <c r="V248" s="657" t="str">
        <f>IF(W243='بيانات للادخال'!$X$2,"Monthly Salary",IF(OR(W243='بيانات للادخال'!$X$7,W243='بيانات للادخال'!$X$8,W243='بيانات للادخال'!$X$10),"Monthly Income","Need to specify income type"))</f>
        <v>Need to specify income type</v>
      </c>
      <c r="W248" s="661"/>
    </row>
    <row r="249" spans="1:23" hidden="1">
      <c r="A249" s="658" t="s">
        <v>1548</v>
      </c>
      <c r="B249" s="655" t="s">
        <v>426</v>
      </c>
      <c r="C249" s="658" t="str">
        <f>"قيمة الفاتورة ("&amp;IF($B$249=USD,USD,IF($B$249=ILS,ILS,IF($B$249=EUR,EUR)))&amp;"):"</f>
        <v>قيمة الفاتورة (شيكل):</v>
      </c>
      <c r="D249" s="662"/>
      <c r="V249" s="657"/>
      <c r="W249" s="663"/>
    </row>
    <row r="250" spans="1:23">
      <c r="A250" s="1299" t="s">
        <v>3</v>
      </c>
      <c r="B250" s="1299"/>
      <c r="C250" s="1299"/>
      <c r="D250" s="1299"/>
    </row>
    <row r="251" spans="1:23" ht="23.25">
      <c r="A251" s="653" t="s">
        <v>186</v>
      </c>
      <c r="B251" s="362"/>
      <c r="C251" s="362"/>
      <c r="D251" s="362"/>
    </row>
    <row r="252" spans="1:23">
      <c r="A252" s="664" t="s">
        <v>186</v>
      </c>
      <c r="B252" s="664" t="s">
        <v>227</v>
      </c>
      <c r="C252" s="664" t="s">
        <v>222</v>
      </c>
      <c r="D252" s="664" t="s">
        <v>223</v>
      </c>
    </row>
    <row r="253" spans="1:23">
      <c r="A253" s="665">
        <f>الأصل!A4</f>
        <v>0</v>
      </c>
      <c r="B253" s="649">
        <f>IF(FC=USD,الأصل!E4,IF(FC=ILS,الأصل!E4*usdrate,IF(FC=EUR,الأصل!E4/eurrate)))</f>
        <v>10373</v>
      </c>
      <c r="C253" s="649">
        <f>IF(FC=USD,الأصل!F4,IF(FC=ILS,الأصل!F4*usdrate,IF(FC=EUR,الأصل!F4/eurrate)))</f>
        <v>3030.3030303030305</v>
      </c>
      <c r="D253" s="649">
        <f>IF(FC=USD,الأصل!H4,IF(FC=ILS,الأصل!H4*usdrate,IF(FC=EUR,الأصل!H4/eurrate)))</f>
        <v>7342.69696969697</v>
      </c>
    </row>
    <row r="254" spans="1:23" hidden="1">
      <c r="A254" s="665">
        <f>الأصل!A5</f>
        <v>0</v>
      </c>
      <c r="B254" s="649">
        <f>IF(FC=USD,الأصل!E5,IF(FC=ILS,الأصل!E5*usdrate,IF(FC=EUR,الأصل!E5/eurrate)))</f>
        <v>0</v>
      </c>
      <c r="C254" s="649">
        <f>IF(FC=USD,الأصل!F5,IF(FC=ILS,الأصل!F5*usdrate,IF(FC=EUR,الأصل!F5/eurrate)))</f>
        <v>0</v>
      </c>
      <c r="D254" s="649">
        <f>IF(FC=USD,الأصل!H5,IF(FC=ILS,الأصل!H5*usdrate,IF(FC=EUR,الأصل!H5/eurrate)))</f>
        <v>0</v>
      </c>
    </row>
    <row r="255" spans="1:23" hidden="1">
      <c r="A255" s="665">
        <f>الأصل!A6</f>
        <v>0</v>
      </c>
      <c r="B255" s="649">
        <f>IF(FC=USD,الأصل!E6,IF(FC=ILS,الأصل!E6*usdrate,IF(FC=EUR,الأصل!E6/eurrate)))</f>
        <v>0</v>
      </c>
      <c r="C255" s="649">
        <f>IF(FC=USD,الأصل!F6,IF(FC=ILS,الأصل!F6*usdrate,IF(FC=EUR,الأصل!F6/eurrate)))</f>
        <v>0</v>
      </c>
      <c r="D255" s="649">
        <f>IF(FC=USD,الأصل!H6,IF(FC=ILS,الأصل!H6*usdrate,IF(FC=EUR,الأصل!H6/eurrate)))</f>
        <v>0</v>
      </c>
    </row>
    <row r="256" spans="1:23" hidden="1">
      <c r="A256" s="665">
        <f>الأصل!A7</f>
        <v>0</v>
      </c>
      <c r="B256" s="649">
        <f>IF(FC=USD,الأصل!E7,IF(FC=ILS,الأصل!E7*usdrate,IF(FC=EUR,الأصل!E7/eurrate)))</f>
        <v>0</v>
      </c>
      <c r="C256" s="649">
        <f>IF(FC=USD,الأصل!F7,IF(FC=ILS,الأصل!F7*usdrate,IF(FC=EUR,الأصل!F7/eurrate)))</f>
        <v>0</v>
      </c>
      <c r="D256" s="649">
        <f>IF(FC=USD,الأصل!H7,IF(FC=ILS,الأصل!H7*usdrate,IF(FC=EUR,الأصل!H7/eurrate)))</f>
        <v>0</v>
      </c>
    </row>
    <row r="257" spans="1:7" hidden="1">
      <c r="A257" s="665">
        <f>الأصل!A8</f>
        <v>0</v>
      </c>
      <c r="B257" s="649">
        <f>IF(FC=USD,الأصل!E8,IF(FC=ILS,الأصل!E8*usdrate,IF(FC=EUR,الأصل!E8/eurrate)))</f>
        <v>0</v>
      </c>
      <c r="C257" s="649">
        <f>IF(FC=USD,الأصل!F8,IF(FC=ILS,الأصل!F8*usdrate,IF(FC=EUR,الأصل!F8/eurrate)))</f>
        <v>0</v>
      </c>
      <c r="D257" s="649">
        <f>IF(FC=USD,الأصل!H8,IF(FC=ILS,الأصل!H8*usdrate,IF(FC=EUR,الأصل!H8/eurrate)))</f>
        <v>0</v>
      </c>
    </row>
    <row r="258" spans="1:7" hidden="1">
      <c r="A258" s="664" t="str">
        <f>الأصل!A9</f>
        <v>المجموع (قيمة)</v>
      </c>
      <c r="B258" s="666">
        <f>SUM(B253:B257)</f>
        <v>10373</v>
      </c>
      <c r="C258" s="666">
        <f>SUM(C253:C257)</f>
        <v>3030.3030303030305</v>
      </c>
      <c r="D258" s="666">
        <f>SUM(D253:D257)</f>
        <v>7342.69696969697</v>
      </c>
    </row>
    <row r="259" spans="1:7">
      <c r="A259" s="667" t="s">
        <v>259</v>
      </c>
      <c r="B259" s="668">
        <f>B258/$B$258</f>
        <v>1</v>
      </c>
      <c r="C259" s="668">
        <f>C258/$B$258</f>
        <v>0.29213371544423317</v>
      </c>
      <c r="D259" s="668">
        <f>D258/$B$258</f>
        <v>0.70786628455576694</v>
      </c>
    </row>
    <row r="260" spans="1:7">
      <c r="A260" s="1300" t="s">
        <v>3</v>
      </c>
      <c r="B260" s="1300"/>
      <c r="C260" s="1300"/>
      <c r="D260" s="1300"/>
    </row>
    <row r="261" spans="1:7" ht="23.25">
      <c r="A261" s="653" t="s">
        <v>561</v>
      </c>
      <c r="B261" s="669"/>
      <c r="C261" s="669"/>
      <c r="D261" s="669"/>
    </row>
    <row r="262" spans="1:7">
      <c r="A262" s="670" t="s">
        <v>186</v>
      </c>
      <c r="B262" s="670" t="s">
        <v>562</v>
      </c>
      <c r="C262" s="670" t="s">
        <v>563</v>
      </c>
      <c r="D262" s="670" t="s">
        <v>564</v>
      </c>
    </row>
    <row r="263" spans="1:7">
      <c r="A263" s="655">
        <f>A253</f>
        <v>0</v>
      </c>
      <c r="B263" s="655"/>
      <c r="C263" s="745">
        <v>2015</v>
      </c>
      <c r="D263" s="655"/>
      <c r="E263" s="649"/>
      <c r="F263" s="650" t="str">
        <f>IFERROR(E263/B244,"")</f>
        <v/>
      </c>
      <c r="G263" s="671" t="str">
        <f>IFERROR(F263+الأصل!#REF!,"")</f>
        <v/>
      </c>
    </row>
    <row r="264" spans="1:7" hidden="1">
      <c r="A264" s="655">
        <f>A254</f>
        <v>0</v>
      </c>
      <c r="B264" s="655"/>
      <c r="C264" s="745"/>
      <c r="D264" s="655"/>
      <c r="E264" s="649"/>
      <c r="F264" s="650" t="str">
        <f>IFERROR(E264/B245,"")</f>
        <v/>
      </c>
      <c r="G264" s="671" t="str">
        <f>IFERROR(F264+الأصل!#REF!,"")</f>
        <v/>
      </c>
    </row>
    <row r="265" spans="1:7" hidden="1">
      <c r="A265" s="655">
        <f>A255</f>
        <v>0</v>
      </c>
      <c r="B265" s="655"/>
      <c r="C265" s="745"/>
      <c r="D265" s="655"/>
      <c r="E265" s="649"/>
      <c r="F265" s="650" t="str">
        <f>IFERROR(E265/B246,"")</f>
        <v/>
      </c>
      <c r="G265" s="671" t="str">
        <f>IFERROR(F265+الأصل!#REF!,"")</f>
        <v/>
      </c>
    </row>
    <row r="266" spans="1:7" hidden="1">
      <c r="A266" s="655">
        <f>A256</f>
        <v>0</v>
      </c>
      <c r="B266" s="655"/>
      <c r="C266" s="745"/>
      <c r="D266" s="655"/>
      <c r="E266" s="649"/>
      <c r="F266" s="650" t="str">
        <f>IFERROR(E266/B247,"")</f>
        <v/>
      </c>
      <c r="G266" s="671" t="str">
        <f>IFERROR(F266+الأصل!#REF!,"")</f>
        <v/>
      </c>
    </row>
    <row r="267" spans="1:7" hidden="1">
      <c r="A267" s="672">
        <f>A257</f>
        <v>0</v>
      </c>
      <c r="B267" s="655"/>
      <c r="C267" s="745"/>
      <c r="D267" s="655"/>
      <c r="E267" s="649"/>
      <c r="F267" s="650" t="str">
        <f>IFERROR(E267/B248,"")</f>
        <v/>
      </c>
      <c r="G267" s="671" t="str">
        <f>IFERROR(F267+الأصل!#REF!,"")</f>
        <v/>
      </c>
    </row>
    <row r="268" spans="1:7">
      <c r="A268" s="669" t="s">
        <v>3</v>
      </c>
      <c r="B268" s="669"/>
      <c r="C268" s="669"/>
      <c r="D268" s="669"/>
    </row>
    <row r="269" spans="1:7" ht="23.25">
      <c r="A269" s="653" t="s">
        <v>551</v>
      </c>
      <c r="B269" s="669"/>
      <c r="C269" s="669"/>
      <c r="D269" s="669"/>
    </row>
    <row r="270" spans="1:7">
      <c r="A270" s="670" t="s">
        <v>186</v>
      </c>
      <c r="B270" s="670" t="str">
        <f>IF(FC=USD," تخمين (1) بالدولار",IF(FC=ILS," تخمين (1) بالشيكل",IF(FC=EUR," تخمين (1) باليورو")))</f>
        <v xml:space="preserve"> تخمين (1) بالدولار</v>
      </c>
      <c r="C270" s="670" t="str">
        <f>IF(FC=USD," تخمين (2) بالدولار",IF(FC=ILS," تخمين (1) بالشيكل",IF(FC=EUR," تخمين (1) باليورو")))</f>
        <v xml:space="preserve"> تخمين (2) بالدولار</v>
      </c>
      <c r="D270" s="670" t="s">
        <v>542</v>
      </c>
    </row>
    <row r="271" spans="1:7">
      <c r="A271" s="673" t="s">
        <v>552</v>
      </c>
      <c r="B271" s="1178" t="s">
        <v>1294</v>
      </c>
      <c r="C271" s="655" t="s">
        <v>1294</v>
      </c>
      <c r="D271" s="673"/>
    </row>
    <row r="272" spans="1:7">
      <c r="A272" s="655">
        <f>A253</f>
        <v>0</v>
      </c>
      <c r="B272" s="674">
        <f>0/usdrate</f>
        <v>0</v>
      </c>
      <c r="C272" s="674">
        <f>0/usdrate</f>
        <v>0</v>
      </c>
      <c r="D272" s="674">
        <f>AVERAGE(B272:C272)</f>
        <v>0</v>
      </c>
      <c r="E272" s="649">
        <f>IFERROR(B253-D272,"")</f>
        <v>10373</v>
      </c>
      <c r="F272" s="650">
        <f>IFERROR(E272/B253,"")</f>
        <v>1</v>
      </c>
      <c r="G272" s="671">
        <f>IFERROR(F272+الأصل!G4,"")</f>
        <v>1.2921337154442332</v>
      </c>
    </row>
    <row r="273" spans="1:7" hidden="1">
      <c r="A273" s="675">
        <f>A254</f>
        <v>0</v>
      </c>
      <c r="B273" s="662"/>
      <c r="C273" s="662"/>
      <c r="D273" s="662" t="e">
        <f>AVERAGE(B273:C273)</f>
        <v>#DIV/0!</v>
      </c>
      <c r="E273" s="649" t="str">
        <f>IFERROR(B254-D273,"")</f>
        <v/>
      </c>
      <c r="F273" s="650" t="str">
        <f>IFERROR(E273/B254,"")</f>
        <v/>
      </c>
      <c r="G273" s="671" t="str">
        <f>IFERROR(F273+الأصل!G5,"")</f>
        <v/>
      </c>
    </row>
    <row r="274" spans="1:7" hidden="1">
      <c r="A274" s="675">
        <f>A255</f>
        <v>0</v>
      </c>
      <c r="B274" s="662"/>
      <c r="C274" s="662"/>
      <c r="D274" s="662" t="e">
        <f>AVERAGE(B274:C274)</f>
        <v>#DIV/0!</v>
      </c>
      <c r="E274" s="649" t="str">
        <f>IFERROR(B255-D274,"")</f>
        <v/>
      </c>
      <c r="F274" s="650" t="str">
        <f>IFERROR(E274/B255,"")</f>
        <v/>
      </c>
      <c r="G274" s="671" t="str">
        <f>IFERROR(F274+الأصل!G6,"")</f>
        <v/>
      </c>
    </row>
    <row r="275" spans="1:7" hidden="1">
      <c r="A275" s="675">
        <f>A256</f>
        <v>0</v>
      </c>
      <c r="B275" s="662"/>
      <c r="C275" s="662"/>
      <c r="D275" s="662" t="e">
        <f>AVERAGE(B275:C275)</f>
        <v>#DIV/0!</v>
      </c>
      <c r="E275" s="649" t="str">
        <f>IFERROR(B256-D275,"")</f>
        <v/>
      </c>
      <c r="F275" s="650" t="str">
        <f>IFERROR(E275/B256,"")</f>
        <v/>
      </c>
      <c r="G275" s="671" t="str">
        <f>IFERROR(F275+الأصل!G7,"")</f>
        <v/>
      </c>
    </row>
    <row r="276" spans="1:7" hidden="1">
      <c r="A276" s="672">
        <f>A257</f>
        <v>0</v>
      </c>
      <c r="B276" s="676"/>
      <c r="C276" s="676"/>
      <c r="D276" s="676" t="e">
        <f>AVERAGE(B276:C276)</f>
        <v>#DIV/0!</v>
      </c>
      <c r="E276" s="649" t="str">
        <f>IFERROR(B257-D276,"")</f>
        <v/>
      </c>
      <c r="F276" s="650" t="str">
        <f>IFERROR(E276/B257,"")</f>
        <v/>
      </c>
      <c r="G276" s="671" t="str">
        <f>IFERROR(F276+الأصل!G8,"")</f>
        <v/>
      </c>
    </row>
    <row r="277" spans="1:7">
      <c r="A277" s="669" t="s">
        <v>3</v>
      </c>
      <c r="B277" s="669"/>
      <c r="C277" s="669"/>
      <c r="D277" s="669"/>
    </row>
    <row r="278" spans="1:7" ht="23.25">
      <c r="A278" s="653" t="s">
        <v>388</v>
      </c>
      <c r="B278" s="362"/>
      <c r="C278" s="362"/>
      <c r="D278" s="362"/>
    </row>
    <row r="279" spans="1:7" ht="15.75">
      <c r="A279" s="677" t="s">
        <v>430</v>
      </c>
      <c r="B279" s="678" t="s">
        <v>425</v>
      </c>
      <c r="C279" s="679" t="str">
        <f>IF(OR(FC=USD,FC=ILS),"سعر صرف الدولار مقابل الشيكل:",IF(FC=EUR,"سعر صرف اليورو مقابل الدولار:"))</f>
        <v>سعر صرف الدولار مقابل الشيكل:</v>
      </c>
      <c r="D279" s="680">
        <f>IF(OR(FC=USD,FC=ILS),usdrate,IF(FC=EUR,eurrate))</f>
        <v>3.3</v>
      </c>
    </row>
    <row r="280" spans="1:7">
      <c r="A280" s="681" t="s">
        <v>431</v>
      </c>
      <c r="B280" s="682">
        <f>IF(AND(FC=USD,OR(B$248='بيانات للادخال'!$F$2,$B$248='بيانات للادخال'!$F$3)),الحاسبة!$E$55*(1+PNAVAT),IF(AND(FC=USD,$B$248='بيانات للادخال'!$F$4),الحاسبة!$E$55,IF(AND(FC=ILS,OR(B$248='بيانات للادخال'!$F$2,$B$248='بيانات للادخال'!$F$3)),الحاسبة!$E$55*(1+PNAVAT)*usdrate,IF(AND(FC=ILS,$B$248='بيانات للادخال'!$F$4),الحاسبة!$E$55*usdrate,IF(AND(FC=EUR,OR(B$248='بيانات للادخال'!$F$2,$B$248='بيانات للادخال'!$F$3)),الحاسبة!$E$55*(1+PNAVAT)/eurrate,IF(AND(FC=EUR,$B$248='بيانات للادخال'!$F$4),الحاسبة!$E$55/eurrate))))))</f>
        <v>7342.69696969697</v>
      </c>
      <c r="C280" s="681" t="s">
        <v>437</v>
      </c>
      <c r="D280" s="682">
        <f>الحاسبة!$G$3</f>
        <v>48</v>
      </c>
      <c r="E280" s="648" t="str">
        <f>IF(AND($D$244='معاير الائتمان'!$A$54,$D$280&gt;'معاير الائتمان'!$B$54),'معاير الائتمان'!$C$54,"")</f>
        <v/>
      </c>
    </row>
    <row r="281" spans="1:7">
      <c r="A281" s="681" t="s">
        <v>432</v>
      </c>
      <c r="B281" s="682">
        <f>IF(FC=USD,الحاسبة!$E$56,IF(FC=ILS,الحاسبة!$E$56*usdrate,IF(FC=EUR,الحاسبة!$E$56/eurrate)))</f>
        <v>100</v>
      </c>
      <c r="C281" s="683" t="s">
        <v>438</v>
      </c>
      <c r="D281" s="682">
        <f>الحاسبة!$R$3</f>
        <v>0</v>
      </c>
    </row>
    <row r="282" spans="1:7">
      <c r="A282" s="683" t="s">
        <v>1535</v>
      </c>
      <c r="B282" s="682">
        <f>IF(FC=USD,الحاسبة!$E$57+الحاسبة!$E$58,IF(FC=ILS,الحاسبة!$E$57+الحاسبة!$E$58*usdrate,IF(FC=EUR,الحاسبة!$E$57+الحاسبة!$E$58/eurrate)))</f>
        <v>15</v>
      </c>
      <c r="C282" s="683" t="s">
        <v>439</v>
      </c>
      <c r="D282" s="682">
        <f>الحاسبة!$Z$3</f>
        <v>0</v>
      </c>
    </row>
    <row r="283" spans="1:7">
      <c r="A283" s="683" t="s">
        <v>1711</v>
      </c>
      <c r="B283" s="682">
        <f>IF(FC=USD,الحاسبة!$E$55*(1+PNAVAT),IF(FC=ILS,الحاسبة!$E$55*(1+PNAVAT)*usdrate,IF(FC=EUR,الحاسبة!$E$55*(1+PNAVAT)/eurrate)))*0.0198*tenor/12</f>
        <v>581.54160000000002</v>
      </c>
      <c r="C283" s="683" t="s">
        <v>440</v>
      </c>
      <c r="D283" s="682">
        <f>D280-D282</f>
        <v>48</v>
      </c>
    </row>
    <row r="284" spans="1:7">
      <c r="A284" s="683" t="s">
        <v>435</v>
      </c>
      <c r="B284" s="682">
        <f>IF(FC=USD,الحاسبة!$AW$3-B283,IF(FC=ILS,الحاسبة!$AW$3*usdrate-B283,IF(FC=EUR,الحاسبة!$AW$3/eurrate)))</f>
        <v>1223.0335306165157</v>
      </c>
      <c r="C284" s="683" t="s">
        <v>436</v>
      </c>
      <c r="D284" s="685">
        <f>IF(AND(FC=USD,OR(B$248='بيانات للادخال'!$F$2,$B$248='بيانات للادخال'!$F$3)),الحاسبة!$AF$3*(1+PNAVAT),IF(AND(FC=USD,$B$248='بيانات للادخال'!$F$4),الحاسبة!$AF$3,IF(AND(FC=ILS,OR(B$248='بيانات للادخال'!$F$2,$B$248='بيانات للادخال'!$F$3)),الحاسبة!$AF$3*(1+PNAVAT)*usdrate,IF(AND(FC=ILS,$B$248='بيانات للادخال'!$F$4),الحاسبة!$AF$3*usdrate,IF(AND(FC=EUR,OR(B$248='بيانات للادخال'!$F$2,$B$248='بيانات للادخال'!$F$3)),الحاسبة!$AF$3*(1+PNAVAT)/eurrate,IF(AND(FC=EUR,$B$248='بيانات للادخال'!$F$4),الحاسبة!$AF$3/eurrate))))))</f>
        <v>199.36258585858587</v>
      </c>
    </row>
    <row r="285" spans="1:7">
      <c r="A285" s="681" t="s">
        <v>441</v>
      </c>
      <c r="B285" s="684">
        <f>الحاسبة!$H$3</f>
        <v>7.0000000000000007E-2</v>
      </c>
      <c r="C285" s="1012" t="s">
        <v>442</v>
      </c>
      <c r="D285" s="684">
        <f>الحاسبة!$H$5</f>
        <v>0.12675394945206442</v>
      </c>
    </row>
    <row r="286" spans="1:7">
      <c r="A286" s="683" t="s">
        <v>443</v>
      </c>
      <c r="B286" s="684">
        <f>الحاسبة!AC3</f>
        <v>7.0000000000000007E-2</v>
      </c>
      <c r="C286" s="1012" t="s">
        <v>444</v>
      </c>
      <c r="D286" s="684">
        <f>الحاسبة!$AA$5</f>
        <v>0.12675394945206442</v>
      </c>
    </row>
    <row r="287" spans="1:7">
      <c r="A287" s="1301" t="s">
        <v>1297</v>
      </c>
      <c r="B287" s="1301"/>
      <c r="C287" s="1301"/>
      <c r="D287" s="1301"/>
    </row>
    <row r="289" spans="1:7" ht="23.25">
      <c r="A289" s="653" t="s">
        <v>149</v>
      </c>
      <c r="B289" s="362"/>
      <c r="C289" s="362"/>
      <c r="D289" s="362"/>
    </row>
    <row r="290" spans="1:7">
      <c r="A290" s="709" t="s">
        <v>209</v>
      </c>
      <c r="B290" s="709" t="s">
        <v>148</v>
      </c>
      <c r="C290" s="709" t="s">
        <v>255</v>
      </c>
      <c r="D290" s="709" t="s">
        <v>149</v>
      </c>
    </row>
    <row r="291" spans="1:7">
      <c r="A291" s="757">
        <f>B196</f>
        <v>0</v>
      </c>
      <c r="B291" s="647">
        <f>E24+E30+E36+E42</f>
        <v>0</v>
      </c>
      <c r="C291" s="647">
        <f>D284+B198</f>
        <v>199.36258585858587</v>
      </c>
      <c r="D291" s="713" t="e">
        <f t="shared" ref="D291:D296" si="0">C291/B291</f>
        <v>#DIV/0!</v>
      </c>
    </row>
    <row r="292" spans="1:7">
      <c r="A292" s="758">
        <f>B203</f>
        <v>0</v>
      </c>
      <c r="B292" s="647">
        <f>E58+E64+E70+E76</f>
        <v>0</v>
      </c>
      <c r="C292" s="647">
        <f>D284+B205</f>
        <v>199.36258585858587</v>
      </c>
      <c r="D292" s="713" t="e">
        <f t="shared" si="0"/>
        <v>#DIV/0!</v>
      </c>
    </row>
    <row r="293" spans="1:7" hidden="1">
      <c r="A293" s="758">
        <f>B210</f>
        <v>0</v>
      </c>
      <c r="B293" s="647">
        <f>E88+E94+E100+E106</f>
        <v>0</v>
      </c>
      <c r="C293" s="647">
        <f>D284+B212</f>
        <v>199.36258585858587</v>
      </c>
      <c r="D293" s="713" t="e">
        <f t="shared" si="0"/>
        <v>#DIV/0!</v>
      </c>
    </row>
    <row r="294" spans="1:7" hidden="1">
      <c r="A294" s="758">
        <f>B217</f>
        <v>0</v>
      </c>
      <c r="B294" s="647">
        <f>E118+E124+E130+E136</f>
        <v>0</v>
      </c>
      <c r="C294" s="647">
        <f>D284+B219</f>
        <v>199.36258585858587</v>
      </c>
      <c r="D294" s="713" t="e">
        <f t="shared" si="0"/>
        <v>#DIV/0!</v>
      </c>
    </row>
    <row r="295" spans="1:7" hidden="1">
      <c r="A295" s="758">
        <f>B224</f>
        <v>0</v>
      </c>
      <c r="B295" s="647">
        <f>E148+E154+E160+E166</f>
        <v>0</v>
      </c>
      <c r="C295" s="647">
        <f>D284+B226</f>
        <v>199.36258585858587</v>
      </c>
      <c r="D295" s="713" t="e">
        <f t="shared" si="0"/>
        <v>#DIV/0!</v>
      </c>
    </row>
    <row r="296" spans="1:7" hidden="1">
      <c r="A296" s="714" t="s">
        <v>269</v>
      </c>
      <c r="B296" s="715">
        <f>B291+IFERROR(IF(OR(B50='بيانات للادخال'!AF3,B50='بيانات للادخال'!AF4,B50='بيانات للادخال'!AF5,B50='بيانات للادخال'!AF6,B50='بيانات للادخال'!AF7,B50='بيانات للادخال'!AF8,B50='بيانات للادخال'!AF10,B50='بيانات للادخال'!AF11,B50='بيانات للادخال'!AF12),B292,0),0)+IFERROR(IF(OR(B80='بيانات للادخال'!AF3,B80='بيانات للادخال'!AF4,B80='بيانات للادخال'!AF5,B80='بيانات للادخال'!AF6,B80='بيانات للادخال'!AF7,B80='بيانات للادخال'!AF8,B80='بيانات للادخال'!AF10,B80='بيانات للادخال'!AF11,B80='بيانات للادخال'!AF12),B293,0),0)+IFERROR(IF(OR(B110='بيانات للادخال'!AF3,B110='بيانات للادخال'!AF4,B110='بيانات للادخال'!AF5,B110='بيانات للادخال'!AF6,B110='بيانات للادخال'!AF7,B110='بيانات للادخال'!AF8,B110='بيانات للادخال'!AF10,B110='بيانات للادخال'!AF11,B110='بيانات للادخال'!AF12),B294,0),0)+IFERROR(IF(OR(B140='بيانات للادخال'!AF3,B140='بيانات للادخال'!AF4,B140='بيانات للادخال'!AF5,B140='بيانات للادخال'!AF6,B140='بيانات للادخال'!AF7,B140='بيانات للادخال'!AF8,B140='بيانات للادخال'!AF10,B140='بيانات للادخال'!AF11,B140='بيانات للادخال'!AF12),B295,0),0)</f>
        <v>0</v>
      </c>
      <c r="C296" s="715">
        <f>C291+IFERROR(IF(OR(B50='بيانات للادخال'!AF3,B50='بيانات للادخال'!AF4,B50='بيانات للادخال'!AF5,B50='بيانات للادخال'!AF6,B50='بيانات للادخال'!AF7,B50='بيانات للادخال'!AF8,B50='بيانات للادخال'!AF10,B50='بيانات للادخال'!AF11,B50='بيانات للادخال'!AF12),B205,0),0)+IFERROR(IF(OR(B80='بيانات للادخال'!AF3,B80='بيانات للادخال'!AF4,B80='بيانات للادخال'!AF5,B80='بيانات للادخال'!AF6,B80='بيانات للادخال'!AF7,B80='بيانات للادخال'!AF8,B80='بيانات للادخال'!AF10,B80='بيانات للادخال'!AF11,B80='بيانات للادخال'!AF12),B212,0),0)+IFERROR(IF(OR(B110='بيانات للادخال'!AF3,B110='بيانات للادخال'!AF4,B110='بيانات للادخال'!AF5,B110='بيانات للادخال'!AF6,B110='بيانات للادخال'!AF7,B110='بيانات للادخال'!AF8,B110='بيانات للادخال'!AF10,B110='بيانات للادخال'!AF11,B110='بيانات للادخال'!AF12),B219,0),0)+IFERROR(IF(OR(B140='بيانات للادخال'!AF3,B140='بيانات للادخال'!AF4,B140='بيانات للادخال'!AF5,B140='بيانات للادخال'!AF6,B140='بيانات للادخال'!AF7,B140='بيانات للادخال'!AF8,B140='بيانات للادخال'!AF10,B140='بيانات للادخال'!AF11,B140='بيانات للادخال'!AF12),B226,0),0)</f>
        <v>199.36258585858587</v>
      </c>
      <c r="D296" s="716" t="e">
        <f t="shared" si="0"/>
        <v>#DIV/0!</v>
      </c>
    </row>
    <row r="297" spans="1:7">
      <c r="A297" s="1182"/>
      <c r="B297" s="1183"/>
      <c r="C297" s="1183"/>
      <c r="D297" s="1184"/>
    </row>
    <row r="298" spans="1:7" ht="18.75">
      <c r="A298" s="1185" t="s">
        <v>1624</v>
      </c>
      <c r="B298" s="1183"/>
      <c r="C298" s="1183"/>
      <c r="D298" s="1184"/>
    </row>
    <row r="299" spans="1:7" ht="15.75" hidden="1">
      <c r="A299" s="1284" t="s">
        <v>385</v>
      </c>
      <c r="B299" s="1285"/>
      <c r="C299" s="1285"/>
      <c r="D299" s="1286"/>
      <c r="E299" s="317"/>
      <c r="F299" s="317"/>
      <c r="G299" s="317"/>
    </row>
    <row r="300" spans="1:7" ht="15.75" hidden="1">
      <c r="A300" s="1177"/>
      <c r="B300" s="1042"/>
      <c r="C300" s="1042"/>
      <c r="D300" s="1080"/>
      <c r="E300" s="317"/>
      <c r="F300" s="317"/>
      <c r="G300" s="317"/>
    </row>
    <row r="301" spans="1:7" hidden="1">
      <c r="A301" s="1287" t="str">
        <f>IF(التوصية!$D$24="","-",IF(التوصية!$E$24=التوصية!$D$23,"الدخل الاول: يعتمد اثبات الدخل",IF(التوصية!$E$24=التوصية!$E$23,"الدخل الاول: تم احتساب الحد الادنى للاجور بقيمة "&amp;TEXT(التوصية!$E$23,"0,0")&amp;" "&amp;التوصية!$B$279&amp;" كون اثبات الدخل غير معتمد",IF(التوصية!$E$24=التوصية!$E$22,"تم احتساب "&amp;ROUND(التوصية!$E$21*100,0)&amp;"%"&amp;" من الدخل لعدم اعتماد اثبات الدخل"))))</f>
        <v>الدخل الاول: يعتمد اثبات الدخل</v>
      </c>
      <c r="B301" s="1288"/>
      <c r="C301" s="1288"/>
      <c r="D301" s="1289"/>
      <c r="E301" s="317"/>
      <c r="F301" s="317"/>
      <c r="G301" s="317"/>
    </row>
    <row r="302" spans="1:7" hidden="1">
      <c r="A302" s="1287" t="str">
        <f>IF(التوصية!$D$30="","-",IF(التوصية!$E$30=التوصية!$D$29,"الدخل الثاني: يعتمد اثبات الدخل",IF(التوصية!$E$30=التوصية!$E$29,"الدخل الثاني: تم احتساب الحد الادنى للاجور بقيمة "&amp;TEXT(التوصية!$E$29,"0,0")&amp;" "&amp;التوصية!$B$279&amp;" كون اثبات الدخل غير معتمد",IF(التوصية!$E$30=التوصية!$E$28,"تم احتساب "&amp;ROUND(التوصية!$E$21*100,0)&amp;"%"&amp;" من الدخل لعدم اعتماد اثبات الدخل"))))</f>
        <v>الدخل الثاني: يعتمد اثبات الدخل</v>
      </c>
      <c r="B302" s="1288"/>
      <c r="C302" s="1288"/>
      <c r="D302" s="1289"/>
      <c r="E302" s="317"/>
      <c r="F302" s="317"/>
      <c r="G302" s="317"/>
    </row>
    <row r="303" spans="1:7" hidden="1">
      <c r="A303" s="1287" t="str">
        <f>IF(التوصية!$D$36="","-",IF(التوصية!$E$36=التوصية!$D$35,"الدخل الثالث: يعتمد اثبات الدخل",IF(التوصية!$E$36=التوصية!$E$35,"الدخل الثالث: تم احتساب الحد الادنى للاجور بقيمة "&amp;TEXT(التوصية!$E$35,"0,0")&amp;" "&amp;التوصية!$B$279&amp;" كون اثبات الدخل غير معتمد",IF(التوصية!$E$36=التوصية!$E$34,"تم احتساب "&amp;ROUND(التوصية!$E$21*100,0)&amp;"%"&amp;" من الدخل لعدم اعتماد اثبات الدخل"))))</f>
        <v>-</v>
      </c>
      <c r="B303" s="1288"/>
      <c r="C303" s="1288"/>
      <c r="D303" s="1289"/>
      <c r="E303" s="317"/>
      <c r="F303" s="317"/>
      <c r="G303" s="317"/>
    </row>
    <row r="304" spans="1:7" hidden="1">
      <c r="A304" s="1287" t="str">
        <f>IF(التوصية!$D$42="","-",IF(التوصية!$E$42=التوصية!$D$41,"الدخل الرابع: يعتمد اثبات الدخل",IF(التوصية!$E$42=التوصية!$E$41,"الدخل الرابع: تم احتساب الحد الادنى للاجور بقيمة "&amp;TEXT(التوصية!$E$41,"0,0")&amp;" "&amp;التوصية!$B$279&amp;" كون اثبات الدخل غير معتمد",IF(التوصية!$E$42=التوصية!$E$40,"تم احتساب "&amp;ROUND(التوصية!$E$21*100,0)&amp;"%"&amp;" من الدخل لعدم اعتماد اثبات الدخل"))))</f>
        <v>-</v>
      </c>
      <c r="B304" s="1288"/>
      <c r="C304" s="1288"/>
      <c r="D304" s="1289"/>
      <c r="E304" s="317"/>
      <c r="F304" s="317"/>
      <c r="G304" s="317"/>
    </row>
    <row r="305" spans="1:7" hidden="1">
      <c r="A305" s="1287" t="str">
        <f>IF(التوصية!$B$199='معاير الائتمان'!$B$3,"• "&amp;'معاير الائتمان'!$C$3,"")</f>
        <v/>
      </c>
      <c r="B305" s="1288"/>
      <c r="C305" s="1288"/>
      <c r="D305" s="1289"/>
      <c r="E305" s="317"/>
      <c r="F305" s="317"/>
      <c r="G305" s="317"/>
    </row>
    <row r="306" spans="1:7" hidden="1">
      <c r="A306" s="1287" t="str">
        <f>IF(التوصية!$B$199='معاير الائتمان'!$B$4,"• "&amp;'معاير الائتمان'!$C$4,"")</f>
        <v/>
      </c>
      <c r="B306" s="1288"/>
      <c r="C306" s="1288"/>
      <c r="D306" s="1289"/>
      <c r="E306" s="317"/>
      <c r="F306" s="317"/>
      <c r="G306" s="317"/>
    </row>
    <row r="307" spans="1:7" hidden="1">
      <c r="A307" s="1287" t="str">
        <f>IF(OR(التوصية!$B$234='بيانات للادخال'!$S$2,التوصية!$B$234='بيانات للادخال'!$S$3),"• "&amp;'معاير الائتمان'!$C$6,"")</f>
        <v/>
      </c>
      <c r="B307" s="1288"/>
      <c r="C307" s="1288"/>
      <c r="D307" s="1289"/>
      <c r="E307" s="317"/>
      <c r="F307" s="317"/>
      <c r="G307" s="317"/>
    </row>
    <row r="308" spans="1:7" ht="15.75" hidden="1" customHeight="1">
      <c r="A308" s="1287" t="str">
        <f ca="1">IF(التوصية!$D$8&gt;='معاير الائتمان'!$B$5,"• "&amp;'معاير الائتمان'!$C$5,"")</f>
        <v>• تأمين على حياة الزبون حيث عمره 60 عام فاكثر</v>
      </c>
      <c r="B308" s="1288"/>
      <c r="C308" s="1288"/>
      <c r="D308" s="1289"/>
      <c r="E308" s="317"/>
      <c r="F308" s="317"/>
      <c r="G308" s="317"/>
    </row>
    <row r="309" spans="1:7" hidden="1">
      <c r="A309" s="1287" t="str">
        <f>IF(التوصية!$D$14='بيانات للادخال'!$M$3,"• "&amp;'معاير الائتمان'!$C$7,"")</f>
        <v/>
      </c>
      <c r="B309" s="1288"/>
      <c r="C309" s="1288"/>
      <c r="D309" s="1289"/>
      <c r="E309" s="317"/>
      <c r="F309" s="317"/>
      <c r="G309" s="317"/>
    </row>
    <row r="310" spans="1:7" hidden="1">
      <c r="A310" s="1287" t="str">
        <f>IF(التوصية!$D$198&gt;0,"• "&amp;'معاير الائتمان'!$C$8,"")</f>
        <v/>
      </c>
      <c r="B310" s="1288"/>
      <c r="C310" s="1288"/>
      <c r="D310" s="1289"/>
      <c r="E310" s="317"/>
      <c r="F310" s="317"/>
      <c r="G310" s="317"/>
    </row>
    <row r="311" spans="1:7" hidden="1">
      <c r="A311" s="1287" t="str">
        <f>IFERROR(IF(التوصية!$D$291&gt;'معاير الائتمان'!$B$9,"• "&amp;'معاير الائتمان'!$C$9,""),"")</f>
        <v/>
      </c>
      <c r="B311" s="1288"/>
      <c r="C311" s="1288"/>
      <c r="D311" s="1289"/>
      <c r="E311" s="317"/>
      <c r="F311" s="317"/>
      <c r="G311" s="317"/>
    </row>
    <row r="312" spans="1:7" hidden="1">
      <c r="A312" s="1287" t="str">
        <f>IF(التوصية!$B$13='بيانات للادخال'!$R$4,"• "&amp;'معاير الائتمان'!$C$10,"")</f>
        <v/>
      </c>
      <c r="B312" s="1288"/>
      <c r="C312" s="1288"/>
      <c r="D312" s="1289"/>
      <c r="E312" s="317"/>
      <c r="F312" s="317"/>
      <c r="G312" s="317"/>
    </row>
    <row r="313" spans="1:7" hidden="1">
      <c r="A313" s="1287" t="str">
        <f>IF(التوصية!$B$199='معاير الائتمان'!$B$16,"• "&amp;'معاير الائتمان'!$C$16,"")</f>
        <v/>
      </c>
      <c r="B313" s="1288"/>
      <c r="C313" s="1288"/>
      <c r="D313" s="1289"/>
      <c r="E313" s="317"/>
      <c r="F313" s="317"/>
      <c r="G313" s="317"/>
    </row>
    <row r="314" spans="1:7" ht="32.450000000000003" hidden="1" customHeight="1">
      <c r="A314" s="1287" t="str">
        <f>IF(التوصية!$D$23+التوصية!$D$29+التوصية!$D$35+التوصية!$D$41&gt;التوصية!$D$174*0.9,"• "&amp;'معاير الائتمان'!$B$17,"")</f>
        <v/>
      </c>
      <c r="B314" s="1288"/>
      <c r="C314" s="1288"/>
      <c r="D314" s="1289"/>
      <c r="E314" s="317"/>
      <c r="F314" s="317"/>
      <c r="G314" s="317"/>
    </row>
    <row r="315" spans="1:7" hidden="1">
      <c r="A315" s="1287" t="str">
        <f>IFERROR(IF(AND(التوصية!$D$291&gt;'معاير الائتمان'!$B$19,التوصية!$D$291&lt;'معاير الائتمان'!$B$9),"• "&amp;'معاير الائتمان'!$C$19,""),"")</f>
        <v/>
      </c>
      <c r="B315" s="1288"/>
      <c r="C315" s="1288"/>
      <c r="D315" s="1289"/>
      <c r="E315" s="317"/>
      <c r="F315" s="317"/>
      <c r="G315" s="317"/>
    </row>
    <row r="316" spans="1:7" hidden="1">
      <c r="A316" s="1287" t="str">
        <f ca="1">IF((TODAY()-التوصية!$D$21)/365&lt;1,"• "&amp;'معاير الائتمان'!$C$20,"")</f>
        <v/>
      </c>
      <c r="B316" s="1288"/>
      <c r="C316" s="1288"/>
      <c r="D316" s="1289"/>
      <c r="E316" s="317"/>
      <c r="F316" s="317"/>
      <c r="G316" s="317"/>
    </row>
    <row r="317" spans="1:7" hidden="1">
      <c r="A317" s="1287" t="str">
        <f>IF(التوصية!$B$22='معاير الائتمان'!$B$21,"• "&amp;'معاير الائتمان'!$C$21,"")</f>
        <v/>
      </c>
      <c r="B317" s="1288"/>
      <c r="C317" s="1288"/>
      <c r="D317" s="1289"/>
      <c r="E317" s="317"/>
      <c r="F317" s="317"/>
      <c r="G317" s="317"/>
    </row>
    <row r="318" spans="1:7" hidden="1">
      <c r="A318" s="1287" t="str">
        <f>IF(التوصية!$B$22='معاير الائتمان'!$B$22,"• "&amp;'معاير الائتمان'!$C$22,"")</f>
        <v/>
      </c>
      <c r="B318" s="1288"/>
      <c r="C318" s="1288"/>
      <c r="D318" s="1289"/>
      <c r="E318" s="317"/>
      <c r="F318" s="317"/>
      <c r="G318" s="317"/>
    </row>
    <row r="319" spans="1:7" hidden="1">
      <c r="A319" s="1287" t="str">
        <f>IF(التوصية!$D$13='بيانات للادخال'!$M$2,"• "&amp;'معاير الائتمان'!$C$23,"")</f>
        <v/>
      </c>
      <c r="B319" s="1288"/>
      <c r="C319" s="1288"/>
      <c r="D319" s="1289"/>
      <c r="E319" s="317"/>
      <c r="F319" s="317"/>
      <c r="G319" s="317"/>
    </row>
    <row r="320" spans="1:7" hidden="1">
      <c r="A320" s="1287" t="str">
        <f>IF(OR(التوصية!$B$9='بيانات للادخال'!$Q$3,التوصية!$B$9='بيانات للادخال'!$Q$4),"• "&amp;'معاير الائتمان'!$C$65,"")</f>
        <v/>
      </c>
      <c r="B320" s="1288"/>
      <c r="C320" s="1288"/>
      <c r="D320" s="1289"/>
      <c r="E320" s="317"/>
      <c r="F320" s="317"/>
      <c r="G320" s="317"/>
    </row>
    <row r="321" spans="1:7" ht="18.75" hidden="1" customHeight="1">
      <c r="A321" s="1287" t="str">
        <f>'معاير الائتمان'!$C$18</f>
        <v/>
      </c>
      <c r="B321" s="1288"/>
      <c r="C321" s="1288"/>
      <c r="D321" s="1289"/>
      <c r="E321" s="317"/>
      <c r="F321" s="317"/>
      <c r="G321" s="317"/>
    </row>
    <row r="322" spans="1:7" ht="15.75" hidden="1">
      <c r="A322" s="1284" t="s">
        <v>386</v>
      </c>
      <c r="B322" s="1285"/>
      <c r="C322" s="1285"/>
      <c r="D322" s="1286"/>
      <c r="E322" s="317"/>
      <c r="F322" s="317"/>
      <c r="G322" s="317"/>
    </row>
    <row r="323" spans="1:7" hidden="1">
      <c r="A323" s="1287"/>
      <c r="B323" s="1288"/>
      <c r="C323" s="1288"/>
      <c r="D323" s="1289"/>
      <c r="E323" s="317"/>
      <c r="F323" s="317"/>
      <c r="G323" s="317"/>
    </row>
    <row r="324" spans="1:7" hidden="1">
      <c r="A324" s="1287" t="str">
        <f>IF(التوصية!$D$58="","-",IF(التوصية!$E$58=التوصية!$D$57,"الدخل الاول للكفيل الاول: يعتمد اثبات الدخل",IF(التوصية!$E$58=التوصية!$E$57,"الدخل الاول للكفيل الاول: تم احتساب الحد الادنى للاجور بقيمة "&amp;TEXT(التوصية!$E$57,"0,0")&amp;" "&amp;التوصية!$B$279&amp;" كون اثبات الدخل غير معتمد",IF(التوصية!$E$58=التوصية!$E$56,"تم احتساب "&amp;ROUND(التوصية!$E$21*100,0)&amp;"%"&amp;" من الدخل لعدم اعتماد اثبات الدخل"))))</f>
        <v>الدخل الاول للكفيل الاول: يعتمد اثبات الدخل</v>
      </c>
      <c r="B324" s="1288"/>
      <c r="C324" s="1288"/>
      <c r="D324" s="1289"/>
      <c r="E324" s="317"/>
      <c r="F324" s="317"/>
      <c r="G324" s="317"/>
    </row>
    <row r="325" spans="1:7" hidden="1">
      <c r="A325" s="1287" t="str">
        <f>IF(التوصية!$D$64="","-",IF(التوصية!$E$64=التوصية!$D$63,"الدخل الثاني للكفيل الاول: يعتمد اثبات الدخل",IF(التوصية!$E$64=التوصية!$E$63,"الدخل الثاني للكفيل الاول: تم احتساب الحد الادنى للاجور بقيمة "&amp;TEXT(التوصية!$E$63,"0,0")&amp;" "&amp;التوصية!$B$279&amp;" كون اثبات الدخل غير معتمد",IF(التوصية!$E$64=التوصية!$E$62,"تم احتساب "&amp;ROUND(التوصية!$E$21*100,0)&amp;"%"&amp;" من الدخل لعدم اعتماد اثبات الدخل"))))</f>
        <v>-</v>
      </c>
      <c r="B325" s="1288"/>
      <c r="C325" s="1288"/>
      <c r="D325" s="1289"/>
      <c r="E325" s="317"/>
      <c r="F325" s="317"/>
      <c r="G325" s="317"/>
    </row>
    <row r="326" spans="1:7" hidden="1">
      <c r="A326" s="1287" t="str">
        <f>IF(التوصية!$D$70="","-",IF(التوصية!$E$70=التوصية!$D$69,"الدخل الثالث للكفيل الاول: يعتمد اثبات الدخل",IF(التوصية!$E$70=التوصية!$E$69,"الدخل الثالث للكفيل الاول: تم احتساب الحد الادنى للاجور بقيمة "&amp;TEXT(التوصية!$E$69,"0,0")&amp;" "&amp;التوصية!$B$279&amp;" كون اثبات الدخل غير معتمد",IF(التوصية!$E$70=التوصية!$E$68,"تم احتساب "&amp;ROUND(التوصية!$E$21*100,0)&amp;"%"&amp;" من الدخل لعدم اعتماد اثبات الدخل"))))</f>
        <v>-</v>
      </c>
      <c r="B326" s="1288"/>
      <c r="C326" s="1288"/>
      <c r="D326" s="1289"/>
      <c r="E326" s="317"/>
      <c r="F326" s="317"/>
      <c r="G326" s="317"/>
    </row>
    <row r="327" spans="1:7" hidden="1">
      <c r="A327" s="1287" t="str">
        <f>IF(التوصية!$D$76="","-",IF(التوصية!$E$76=التوصية!$D$75,"الدخل الرابع للكفيل الاول: يعتمد اثبات الدخل",IF(التوصية!$E$76=التوصية!$E$75,"الدخل الرابع للكفيل الاول: تم احتساب الحد الادنى للاجور بقيمة "&amp;TEXT(التوصية!$E$75,"0,0")&amp;" "&amp;التوصية!$B$279&amp;" كون اثبات الدخل غير معتمد",IF(التوصية!$E$76=التوصية!$E$74,"تم احتساب "&amp;ROUND(التوصية!$E$21*100,0)&amp;"%"&amp;" من الدخل لعدم اعتماد اثبات الدخل"))))</f>
        <v>-</v>
      </c>
      <c r="B327" s="1288"/>
      <c r="C327" s="1288"/>
      <c r="D327" s="1289"/>
      <c r="E327" s="317"/>
      <c r="F327" s="317"/>
      <c r="G327" s="317"/>
    </row>
    <row r="328" spans="1:7" hidden="1">
      <c r="A328" s="1287" t="str">
        <f>IF(التوصية!$D$88="","-",IF(التوصية!$E$88=التوصية!$D$87,"الدخل الاول للكفيل الثاني: يعتمد اثبات الدخل",IF(التوصية!$E$88=التوصية!$E$87,"الدخل الاول للكفيل الثاني: تم احتساب الحد الادنى للاجور بقيمة "&amp;TEXT(التوصية!$E$87,"0,0")&amp;" "&amp;التوصية!$B$279&amp;" كون اثبات الدخل غير معتمد",IF(التوصية!$E$88=التوصية!$E$86,"تم احتساب "&amp;ROUND(التوصية!$E$21*100,0)&amp;"%"&amp;" من الدخل لعدم اعتماد اثبات الدخل"))))</f>
        <v>الدخل الاول للكفيل الثاني: يعتمد اثبات الدخل</v>
      </c>
      <c r="B328" s="1288"/>
      <c r="C328" s="1288"/>
      <c r="D328" s="1289"/>
      <c r="E328" s="317"/>
      <c r="F328" s="317"/>
      <c r="G328" s="317"/>
    </row>
    <row r="329" spans="1:7" hidden="1">
      <c r="A329" s="1287" t="str">
        <f>IF(التوصية!$D$94="","-",IF(التوصية!$E$94=التوصية!$D$93,"الدخل الثاني للكفيل الثاني: يعتمد اثبات الدخل",IF(التوصية!$E$94=التوصية!$E$93,"الدخل الثاني للكفيل الثاني: تم احتساب الحد الادنى للاجور بقيمة "&amp;TEXT(التوصية!$E$93,"0,0")&amp;" "&amp;التوصية!$B$279&amp;" كون اثبات الدخل غير معتمد",IF(التوصية!$E$94=التوصية!$E$92,"تم احتساب "&amp;ROUND(التوصية!$E$21*100,0)&amp;"%"&amp;" من الدخل لعدم اعتماد اثبات الدخل"))))</f>
        <v>-</v>
      </c>
      <c r="B329" s="1288"/>
      <c r="C329" s="1288"/>
      <c r="D329" s="1289"/>
      <c r="E329" s="317"/>
      <c r="F329" s="317"/>
      <c r="G329" s="317"/>
    </row>
    <row r="330" spans="1:7" hidden="1">
      <c r="A330" s="1287" t="str">
        <f>IF(التوصية!$D$100="","-",IF(التوصية!$E$100=التوصية!$D$99,"الدخل الثالث للكفيل الثاني: يعتمد اثبات الدخل",IF(التوصية!$E$100=التوصية!$E$99,"الدخل الثالث للكفيل الثاني: تم احتساب الحد الادنى للاجور بقيمة "&amp;TEXT(التوصية!$E$99,"0,0")&amp;" "&amp;التوصية!$B$279&amp;" كون اثبات الدخل غير معتمد",IF(التوصية!$E$100=التوصية!$E$98,"تم احتساب "&amp;ROUND(التوصية!$E$21*100,0)&amp;"%"&amp;" من الدخل لعدم اعتماد اثبات الدخل"))))</f>
        <v>-</v>
      </c>
      <c r="B330" s="1288"/>
      <c r="C330" s="1288"/>
      <c r="D330" s="1289"/>
      <c r="E330" s="317"/>
      <c r="F330" s="317"/>
      <c r="G330" s="317"/>
    </row>
    <row r="331" spans="1:7" hidden="1">
      <c r="A331" s="1287" t="str">
        <f>IF(التوصية!$D$106="","-",IF(التوصية!$E$106=التوصية!$D$105,"الدخل الرابع للكفيل الثاني: يعتمد اثبات الدخل",IF(التوصية!$E$106=التوصية!$E$105,"الدخل الرابع للكفيل الثاني: تم احتساب الحد الادنى للاجور بقيمة "&amp;TEXT(التوصية!$E$105,"0,0")&amp;" "&amp;التوصية!$B$279&amp;" كون اثبات الدخل غير معتمد",IF(التوصية!$E$106=التوصية!$E$104,"تم احتساب "&amp;ROUND(التوصية!$E$21*100,0)&amp;"%"&amp;" من الدخل لعدم اعتماد اثبات الدخل"))))</f>
        <v>-</v>
      </c>
      <c r="B331" s="1288"/>
      <c r="C331" s="1288"/>
      <c r="D331" s="1289"/>
      <c r="E331" s="317"/>
      <c r="F331" s="317"/>
      <c r="G331" s="317"/>
    </row>
    <row r="332" spans="1:7" hidden="1">
      <c r="A332" s="1287" t="str">
        <f>IF(التوصية!$D$118="","-",IF(التوصية!$E$118=التوصية!$D$117,"الدخل الاول للكفيل الثالث: يعتمد اثبات الدخل",IF(التوصية!$E$118=التوصية!$E$117,"الدخل الاول للكفيل الثالث: تم احتساب الحد الادنى للاجور بقيمة "&amp;TEXT(التوصية!$E$117,"0,0")&amp;" "&amp;التوصية!$B$279&amp;" كون اثبات الدخل غير معتمد",IF(التوصية!$E$118=التوصية!$E$116,"تم احتساب "&amp;ROUND(التوصية!$E$21*100,0)&amp;"%"&amp;" من الدخل لعدم اعتماد اثبات الدخل"))))</f>
        <v>-</v>
      </c>
      <c r="B332" s="1288"/>
      <c r="C332" s="1288"/>
      <c r="D332" s="1289"/>
      <c r="E332" s="317"/>
      <c r="F332" s="317"/>
      <c r="G332" s="317"/>
    </row>
    <row r="333" spans="1:7" hidden="1">
      <c r="A333" s="1287" t="str">
        <f>IF(التوصية!$D$124="","-",IF(التوصية!$E$124=التوصية!$D$123,"الدخل الثاني للكفيل الثالث: يعتمد اثبات الدخل",IF(التوصية!$E$124=التوصية!$E$123,"الدخل الثاني للكفيل الثالث: تم احتساب الحد الادنى للاجور بقيمة "&amp;TEXT(التوصية!$E$123,"0,0")&amp;" "&amp;التوصية!$B$279&amp;" كون اثبات الدخل غير معتمد",IF(التوصية!$E$124=التوصية!$E$122,"تم احتساب "&amp;ROUND(التوصية!$E$21*100,0)&amp;"%"&amp;" من الدخل لعدم اعتماد اثبات الدخل"))))</f>
        <v>-</v>
      </c>
      <c r="B333" s="1288"/>
      <c r="C333" s="1288"/>
      <c r="D333" s="1289"/>
      <c r="E333" s="317"/>
      <c r="F333" s="317"/>
      <c r="G333" s="317"/>
    </row>
    <row r="334" spans="1:7" hidden="1">
      <c r="A334" s="1287" t="str">
        <f>IF(التوصية!$D$130="","-",IF(التوصية!$E$130=التوصية!$D$129,"الدخل الثالث للكفيل الثالث: يعتمد اثبات الدخل",IF(التوصية!$E$130=التوصية!$E$129,"الدخل الثالث للكفيل الثالث: تم احتساب الحد الادنى للاجور بقيمة "&amp;TEXT(التوصية!$E$129,"0,0")&amp;" "&amp;التوصية!$B$279&amp;" كون اثبات الدخل غير معتمد",IF(التوصية!$E$130=التوصية!$E$128,"تم احتساب "&amp;ROUND(التوصية!$E$21*100,0)&amp;"%"&amp;" من الدخل لعدم اعتماد اثبات الدخل"))))</f>
        <v>-</v>
      </c>
      <c r="B334" s="1288"/>
      <c r="C334" s="1288"/>
      <c r="D334" s="1289"/>
      <c r="E334" s="317"/>
      <c r="F334" s="317"/>
      <c r="G334" s="317"/>
    </row>
    <row r="335" spans="1:7" hidden="1">
      <c r="A335" s="1287" t="str">
        <f>IF(التوصية!$D$136="","-",IF(التوصية!$E$136=التوصية!$D$135,"الدخل الرابع للكفيل الثالث: يعتمد اثبات الدخل",IF(التوصية!$E$136=التوصية!$E$135,"الدخل الرابع للكفيل الثالث: تم احتساب الحد الادنى للاجور بقيمة "&amp;TEXT(التوصية!$E$135,"0,0")&amp;" "&amp;التوصية!$B$279&amp;" كون اثبات الدخل غير معتمد",IF(التوصية!$E$136=التوصية!$E$134,"تم احتساب "&amp;ROUND(التوصية!$E$21*100,0)&amp;"%"&amp;" من الدخل لعدم اعتماد اثبات الدخل"))))</f>
        <v>-</v>
      </c>
      <c r="B335" s="1288"/>
      <c r="C335" s="1288"/>
      <c r="D335" s="1289"/>
      <c r="E335" s="317"/>
      <c r="F335" s="317"/>
      <c r="G335" s="317"/>
    </row>
    <row r="336" spans="1:7" hidden="1">
      <c r="A336" s="1287" t="str">
        <f>IF(التوصية!$D$148="","-",IF(التوصية!$E$148=التوصية!$D$147,"الدخل الاول للكفيل الرابع: يعتمد اثبات الدخل",IF(التوصية!$E$148=التوصية!$E$147,"الدخل الاول للكفيل الرابع: تم احتساب الحد الادنى للاجور بقيمة "&amp;TEXT(التوصية!$E$147,"0,0")&amp;" "&amp;التوصية!$B$279&amp;" كون اثبات الدخل غير معتمد",IF(التوصية!$E$148=التوصية!$E$146,"تم احتساب "&amp;ROUND(التوصية!$E$21*100,0)&amp;"%"&amp;" من الدخل لعدم اعتماد اثبات الدخل"))))</f>
        <v>-</v>
      </c>
      <c r="B336" s="1288"/>
      <c r="C336" s="1288"/>
      <c r="D336" s="1289"/>
      <c r="E336" s="317"/>
      <c r="F336" s="317"/>
      <c r="G336" s="317"/>
    </row>
    <row r="337" spans="1:7" hidden="1">
      <c r="A337" s="1287" t="str">
        <f>IF(التوصية!$D$154="","-",IF(التوصية!$E$154=التوصية!$D$153,"الدخل الثاني للكفيل الرابع: يعتمد اثبات الدخل",IF(التوصية!$E$154=التوصية!$E$153,"الدخل الثاني للكفيل الرابع: تم احتساب الحد الادنى للاجور بقيمة "&amp;TEXT(التوصية!$E$153,"0,0")&amp;" "&amp;التوصية!$B$279&amp;" كون اثبات الدخل غير معتمد",IF(التوصية!$E$154=التوصية!$E$152,"تم احتساب "&amp;ROUND(التوصية!$E$21*100,0)&amp;"%"&amp;" من الدخل لعدم اعتماد اثبات الدخل"))))</f>
        <v>-</v>
      </c>
      <c r="B337" s="1288"/>
      <c r="C337" s="1288"/>
      <c r="D337" s="1289"/>
      <c r="E337" s="317"/>
      <c r="F337" s="317"/>
      <c r="G337" s="317"/>
    </row>
    <row r="338" spans="1:7" hidden="1">
      <c r="A338" s="1287" t="str">
        <f>IF(التوصية!$D$160="","-",IF(التوصية!$E$160=التوصية!$D$159,"الدخل الثالث للكفيل الرابع: يعتمد اثبات الدخل",IF(التوصية!$E$160=التوصية!$E$159,"الدخل الثالث للكفيل الرابع: تم احتساب الحد الادنى للاجور بقيمة "&amp;TEXT(التوصية!$E$159,"0,0")&amp;" "&amp;التوصية!$B$279&amp;" كون اثبات الدخل غير معتمد",IF(التوصية!$E$160=التوصية!$E$158,"تم احتساب "&amp;ROUND(التوصية!$E$21*100,0)&amp;"%"&amp;" من الدخل لعدم اعتماد اثبات الدخل"))))</f>
        <v>-</v>
      </c>
      <c r="B338" s="1288"/>
      <c r="C338" s="1288"/>
      <c r="D338" s="1289"/>
      <c r="E338" s="317"/>
      <c r="F338" s="317"/>
      <c r="G338" s="317"/>
    </row>
    <row r="339" spans="1:7" hidden="1">
      <c r="A339" s="1287" t="str">
        <f>IF(التوصية!$D$166="","-",IF(التوصية!$E$166=التوصية!$D$165,"الدخل الرابع للكفيل الرابع: يعتمد اثبات الدخل",IF(التوصية!$E$166=التوصية!$E$165,"الدخل الرابع للكفيل الرابع: تم احتساب الحد الادنى للاجور بقيمة "&amp;TEXT(التوصية!$E$165,"0,0")&amp;" "&amp;التوصية!$B$279&amp;" كون اثبات الدخل غير معتمد",IF(التوصية!$E$166=التوصية!$E$164,"تم احتساب "&amp;ROUND(التوصية!$E$21*100,0)&amp;"%"&amp;" من الدخل لعدم اعتماد اثبات الدخل"))))</f>
        <v>-</v>
      </c>
      <c r="B339" s="1288"/>
      <c r="C339" s="1288"/>
      <c r="D339" s="1289"/>
      <c r="E339" s="317"/>
      <c r="F339" s="317"/>
      <c r="G339" s="317"/>
    </row>
    <row r="340" spans="1:7" hidden="1">
      <c r="A340" s="1287" t="str">
        <f>IF(التوصية!$B$206='معاير الائتمان'!$B$24,"• "&amp;'معاير الائتمان'!$C$24,"")</f>
        <v/>
      </c>
      <c r="B340" s="1288"/>
      <c r="C340" s="1288"/>
      <c r="D340" s="1289"/>
      <c r="E340" s="317"/>
      <c r="F340" s="317"/>
      <c r="G340" s="317"/>
    </row>
    <row r="341" spans="1:7" hidden="1">
      <c r="A341" s="1287" t="str">
        <f>IF(التوصية!$B$206='معاير الائتمان'!$B$25,"• "&amp;'معاير الائتمان'!$C$25,"")</f>
        <v/>
      </c>
      <c r="B341" s="1288"/>
      <c r="C341" s="1288"/>
      <c r="D341" s="1289"/>
      <c r="E341" s="317"/>
      <c r="F341" s="317"/>
      <c r="G341" s="317"/>
    </row>
    <row r="342" spans="1:7" hidden="1">
      <c r="A342" s="1287" t="str">
        <f>IF(التوصية!$B$213='معاير الائتمان'!$B$26,"• "&amp;'معاير الائتمان'!$C$26,"")</f>
        <v/>
      </c>
      <c r="B342" s="1288"/>
      <c r="C342" s="1288"/>
      <c r="D342" s="1289"/>
      <c r="E342" s="317"/>
      <c r="F342" s="317"/>
      <c r="G342" s="317"/>
    </row>
    <row r="343" spans="1:7" hidden="1">
      <c r="A343" s="1287" t="str">
        <f>IF(التوصية!$B$213='معاير الائتمان'!$B$27,"• "&amp;'معاير الائتمان'!$C$27,"")</f>
        <v/>
      </c>
      <c r="B343" s="1288"/>
      <c r="C343" s="1288"/>
      <c r="D343" s="1289"/>
      <c r="E343" s="317"/>
      <c r="F343" s="317"/>
      <c r="G343" s="317"/>
    </row>
    <row r="344" spans="1:7" hidden="1">
      <c r="A344" s="1287" t="str">
        <f>IF(التوصية!$B$220='معاير الائتمان'!$B$28,"• "&amp;'معاير الائتمان'!$C$28,"")</f>
        <v/>
      </c>
      <c r="B344" s="1288"/>
      <c r="C344" s="1288"/>
      <c r="D344" s="1289"/>
      <c r="E344" s="317"/>
      <c r="F344" s="317"/>
      <c r="G344" s="317"/>
    </row>
    <row r="345" spans="1:7" hidden="1">
      <c r="A345" s="1287"/>
      <c r="B345" s="1288"/>
      <c r="C345" s="1288"/>
      <c r="D345" s="1289"/>
      <c r="E345" s="317"/>
      <c r="F345" s="317"/>
      <c r="G345" s="317"/>
    </row>
    <row r="346" spans="1:7" hidden="1">
      <c r="A346" s="1287"/>
      <c r="B346" s="1288"/>
      <c r="C346" s="1288"/>
      <c r="D346" s="1289"/>
      <c r="E346" s="317"/>
      <c r="F346" s="317"/>
      <c r="G346" s="317"/>
    </row>
    <row r="347" spans="1:7" hidden="1">
      <c r="A347" s="1287"/>
      <c r="B347" s="1288"/>
      <c r="C347" s="1288"/>
      <c r="D347" s="1289"/>
      <c r="E347" s="317"/>
      <c r="F347" s="317"/>
      <c r="G347" s="317"/>
    </row>
    <row r="348" spans="1:7" hidden="1">
      <c r="A348" s="1287"/>
      <c r="B348" s="1288"/>
      <c r="C348" s="1288"/>
      <c r="D348" s="1289"/>
      <c r="E348" s="317"/>
      <c r="F348" s="317"/>
      <c r="G348" s="317"/>
    </row>
    <row r="349" spans="1:7" hidden="1">
      <c r="A349" s="1287"/>
      <c r="B349" s="1288"/>
      <c r="C349" s="1288"/>
      <c r="D349" s="1289"/>
      <c r="E349" s="317"/>
      <c r="F349" s="317"/>
      <c r="G349" s="317"/>
    </row>
    <row r="350" spans="1:7" hidden="1">
      <c r="A350" s="1287"/>
      <c r="B350" s="1288"/>
      <c r="C350" s="1288"/>
      <c r="D350" s="1289"/>
      <c r="E350" s="317"/>
      <c r="F350" s="317"/>
      <c r="G350" s="317"/>
    </row>
    <row r="351" spans="1:7" hidden="1">
      <c r="A351" s="1287"/>
      <c r="B351" s="1288"/>
      <c r="C351" s="1288"/>
      <c r="D351" s="1289"/>
      <c r="E351" s="317"/>
      <c r="F351" s="317"/>
      <c r="G351" s="317"/>
    </row>
    <row r="352" spans="1:7" hidden="1">
      <c r="A352" s="1287"/>
      <c r="B352" s="1288"/>
      <c r="C352" s="1288"/>
      <c r="D352" s="1289"/>
      <c r="E352" s="317"/>
      <c r="F352" s="317"/>
      <c r="G352" s="317"/>
    </row>
    <row r="353" spans="1:7" hidden="1">
      <c r="A353" s="1287"/>
      <c r="B353" s="1288"/>
      <c r="C353" s="1288"/>
      <c r="D353" s="1289"/>
      <c r="E353" s="317"/>
      <c r="F353" s="317"/>
      <c r="G353" s="317"/>
    </row>
    <row r="354" spans="1:7" hidden="1">
      <c r="A354" s="1287"/>
      <c r="B354" s="1288"/>
      <c r="C354" s="1288"/>
      <c r="D354" s="1289"/>
      <c r="E354" s="317"/>
      <c r="F354" s="317"/>
      <c r="G354" s="317"/>
    </row>
    <row r="355" spans="1:7" hidden="1">
      <c r="A355" s="1287" t="str">
        <f>IF(التوصية!$B$220='معاير الائتمان'!$B$29,"• "&amp;'معاير الائتمان'!$C$29,"")</f>
        <v/>
      </c>
      <c r="B355" s="1288"/>
      <c r="C355" s="1288"/>
      <c r="D355" s="1289"/>
      <c r="E355" s="317"/>
      <c r="F355" s="317"/>
      <c r="G355" s="317"/>
    </row>
    <row r="356" spans="1:7" hidden="1">
      <c r="A356" s="1287" t="str">
        <f>IF(التوصية!$B$227='معاير الائتمان'!$B$30,"• "&amp;'معاير الائتمان'!$C$30,"")</f>
        <v/>
      </c>
      <c r="B356" s="1288"/>
      <c r="C356" s="1288"/>
      <c r="D356" s="1289"/>
      <c r="E356" s="317"/>
      <c r="F356" s="317"/>
      <c r="G356" s="317"/>
    </row>
    <row r="357" spans="1:7" hidden="1">
      <c r="A357" s="1287" t="str">
        <f>IF(التوصية!$B$227='معاير الائتمان'!$B$31,"• "&amp;'معاير الائتمان'!$C$31,"")</f>
        <v/>
      </c>
      <c r="B357" s="1288"/>
      <c r="C357" s="1288"/>
      <c r="D357" s="1289"/>
      <c r="E357" s="317"/>
      <c r="F357" s="317"/>
      <c r="G357" s="317"/>
    </row>
    <row r="358" spans="1:7" hidden="1">
      <c r="A358" s="1287" t="str">
        <f>IF(OR(التوصية!$B531='بيانات للادخال'!$S$2,التوصية!$B531='بيانات للادخال'!$S$3,التوصية!$B531='بيانات للادخال'!$S$4,التوصية!$B531='بيانات للادخال'!$S$5),'معاير الائتمان'!$C328,"")</f>
        <v/>
      </c>
      <c r="B358" s="1288"/>
      <c r="C358" s="1288"/>
      <c r="D358" s="1289"/>
      <c r="E358" s="317"/>
      <c r="F358" s="317"/>
      <c r="G358" s="317"/>
    </row>
    <row r="359" spans="1:7" hidden="1">
      <c r="A359" s="1287" t="str">
        <f>IF(OR(التوصية!$B532='بيانات للادخال'!$S$2,التوصية!$B532='بيانات للادخال'!$S$3,التوصية!$B532='بيانات للادخال'!$S$4,التوصية!$B532='بيانات للادخال'!$S$5),'معاير الائتمان'!$C329,"")</f>
        <v/>
      </c>
      <c r="B359" s="1288"/>
      <c r="C359" s="1288"/>
      <c r="D359" s="1289"/>
      <c r="E359" s="317"/>
      <c r="F359" s="317"/>
      <c r="G359" s="317"/>
    </row>
    <row r="360" spans="1:7" hidden="1">
      <c r="A360" s="1287" t="str">
        <f>IF(OR(التوصية!$B533='بيانات للادخال'!$S$2,التوصية!$B533='بيانات للادخال'!$S$3,التوصية!$B533='بيانات للادخال'!$S$4,التوصية!$B533='بيانات للادخال'!$S$5),'معاير الائتمان'!$C330,"")</f>
        <v/>
      </c>
      <c r="B360" s="1288"/>
      <c r="C360" s="1288"/>
      <c r="D360" s="1289"/>
      <c r="E360" s="317"/>
      <c r="F360" s="317"/>
      <c r="G360" s="317"/>
    </row>
    <row r="361" spans="1:7" hidden="1">
      <c r="A361" s="1287" t="str">
        <f>IF(OR(التوصية!$B534='بيانات للادخال'!$S$2,التوصية!$B534='بيانات للادخال'!$S$3,التوصية!$B534='بيانات للادخال'!$S$4,التوصية!$B534='بيانات للادخال'!$S$5),'معاير الائتمان'!$C331,"")</f>
        <v/>
      </c>
      <c r="B361" s="1288"/>
      <c r="C361" s="1288"/>
      <c r="D361" s="1289"/>
      <c r="E361" s="317"/>
      <c r="F361" s="317"/>
      <c r="G361" s="317"/>
    </row>
    <row r="362" spans="1:7" ht="15.75" hidden="1" customHeight="1">
      <c r="A362" s="1287">
        <f>'معاير الائتمان'!C332</f>
        <v>0</v>
      </c>
      <c r="B362" s="1288"/>
      <c r="C362" s="1288"/>
      <c r="D362" s="1289"/>
      <c r="E362" s="317"/>
      <c r="F362" s="317"/>
      <c r="G362" s="317"/>
    </row>
    <row r="363" spans="1:7" ht="15.75" hidden="1" customHeight="1">
      <c r="A363" s="1287">
        <f>'معاير الائتمان'!C333</f>
        <v>0</v>
      </c>
      <c r="B363" s="1288"/>
      <c r="C363" s="1288"/>
      <c r="D363" s="1289"/>
      <c r="E363" s="317"/>
      <c r="F363" s="317"/>
      <c r="G363" s="317"/>
    </row>
    <row r="364" spans="1:7" ht="15.75" hidden="1" customHeight="1">
      <c r="A364" s="1287">
        <f>'معاير الائتمان'!C334</f>
        <v>0</v>
      </c>
      <c r="B364" s="1288"/>
      <c r="C364" s="1288"/>
      <c r="D364" s="1289"/>
      <c r="E364" s="317"/>
      <c r="F364" s="317"/>
      <c r="G364" s="317"/>
    </row>
    <row r="365" spans="1:7" ht="15.75" hidden="1" customHeight="1">
      <c r="A365" s="1287">
        <f>'معاير الائتمان'!C335</f>
        <v>0</v>
      </c>
      <c r="B365" s="1288"/>
      <c r="C365" s="1288"/>
      <c r="D365" s="1289"/>
      <c r="E365" s="317"/>
      <c r="F365" s="317"/>
      <c r="G365" s="317"/>
    </row>
    <row r="366" spans="1:7" ht="15.75" hidden="1">
      <c r="A366" s="1284" t="s">
        <v>390</v>
      </c>
      <c r="B366" s="1285"/>
      <c r="C366" s="1285"/>
      <c r="D366" s="1286"/>
      <c r="E366" s="317"/>
      <c r="F366" s="317"/>
      <c r="G366" s="317"/>
    </row>
    <row r="367" spans="1:7" hidden="1">
      <c r="A367" s="1287"/>
      <c r="B367" s="1288"/>
      <c r="C367" s="1288"/>
      <c r="D367" s="1289"/>
      <c r="E367" s="317"/>
      <c r="F367" s="317"/>
      <c r="G367" s="317"/>
    </row>
    <row r="368" spans="1:7" hidden="1">
      <c r="A368" s="1287" t="str">
        <f>IF(التوصية!$B$246='معاير الائتمان'!$B$40,'معاير الائتمان'!C336,"")</f>
        <v/>
      </c>
      <c r="B368" s="1288"/>
      <c r="C368" s="1288"/>
      <c r="D368" s="1289"/>
      <c r="E368" s="317"/>
      <c r="F368" s="317"/>
      <c r="G368" s="317"/>
    </row>
    <row r="369" spans="1:7" hidden="1">
      <c r="A369" s="1287" t="str">
        <f>IF(التوصية!$D$245='بيانات للادخال'!$M$2,"• يوجد اتفاقية إعادة الشراء من المورد","")</f>
        <v/>
      </c>
      <c r="B369" s="1288"/>
      <c r="C369" s="1288"/>
      <c r="D369" s="1289"/>
      <c r="E369" s="317"/>
      <c r="F369" s="317"/>
      <c r="G369" s="317"/>
    </row>
    <row r="370" spans="1:7" ht="15.75" hidden="1">
      <c r="A370" s="1284" t="s">
        <v>186</v>
      </c>
      <c r="B370" s="1285"/>
      <c r="C370" s="1285"/>
      <c r="D370" s="1286"/>
      <c r="E370" s="317"/>
      <c r="F370" s="317"/>
      <c r="G370" s="317"/>
    </row>
    <row r="371" spans="1:7" hidden="1">
      <c r="A371" s="1287"/>
      <c r="B371" s="1288"/>
      <c r="C371" s="1288"/>
      <c r="D371" s="1289"/>
      <c r="E371" s="317"/>
      <c r="F371" s="317"/>
      <c r="G371" s="317"/>
    </row>
    <row r="372" spans="1:7" hidden="1">
      <c r="A372" s="1287" t="str">
        <f>IF(OR(التوصية!$B$244='بيانات للادخال'!$AF$3,التوصية!$B$244='بيانات للادخال'!$AF$4,التوصية!$B$244='بيانات للادخال'!$AF$5,التوصية!$B$244='بيانات للادخال'!$AF$6,التوصية!$B$244='بيانات للادخال'!$AF$7,التوصية!$B$244='بيانات للادخال'!$AF$8,التوصية!$B$244='بيانات للادخال'!$AF$10,التوصية!$B$244='بيانات للادخال'!$AF$11,التوصية!$B$244='بيانات للادخال'!$AF$12),"• "&amp;'معاير الائتمان'!$C$11,"")</f>
        <v/>
      </c>
      <c r="B372" s="1288"/>
      <c r="C372" s="1288"/>
      <c r="D372" s="1289"/>
      <c r="E372" s="317"/>
      <c r="F372" s="317"/>
      <c r="G372" s="317"/>
    </row>
    <row r="373" spans="1:7" hidden="1">
      <c r="A373" s="1287" t="str">
        <f>IF(التوصية!$D$244='بيانات للادخال'!$J$14,"• "&amp;'معاير الائتمان'!$C$12,"")</f>
        <v/>
      </c>
      <c r="B373" s="1288"/>
      <c r="C373" s="1288"/>
      <c r="D373" s="1289"/>
      <c r="E373" s="317"/>
      <c r="F373" s="317"/>
      <c r="G373" s="317"/>
    </row>
    <row r="374" spans="1:7" hidden="1">
      <c r="A374" s="1287" t="str">
        <f>IF(التوصية!$B$253&gt;'معاير الائتمان'!$B$45,"• "&amp;'معاير الائتمان'!$C$45,"")</f>
        <v>• رفع الدفعة الأولى للاصل (0) الى 129% كون قيمة عرض السعر  اعلى بنسبة 100% من متوسط القيمة السوقية</v>
      </c>
      <c r="B374" s="1288"/>
      <c r="C374" s="1288"/>
      <c r="D374" s="1289"/>
      <c r="E374" s="317"/>
      <c r="F374" s="317"/>
      <c r="G374" s="317"/>
    </row>
    <row r="375" spans="1:7" hidden="1">
      <c r="A375" s="1287" t="str">
        <f>IF(التوصية!$B$254&gt;'معاير الائتمان'!$B$46,"• "&amp;'معاير الائتمان'!$C$46,"")</f>
        <v/>
      </c>
      <c r="B375" s="1288"/>
      <c r="C375" s="1288"/>
      <c r="D375" s="1289"/>
      <c r="E375" s="317"/>
      <c r="F375" s="317"/>
      <c r="G375" s="317"/>
    </row>
    <row r="376" spans="1:7" hidden="1">
      <c r="A376" s="1287" t="str">
        <f>IF(التوصية!$B$255&gt;'معاير الائتمان'!$B$47,"• "&amp;'معاير الائتمان'!$C$47,"")</f>
        <v/>
      </c>
      <c r="B376" s="1288"/>
      <c r="C376" s="1288"/>
      <c r="D376" s="1289"/>
      <c r="E376" s="317"/>
      <c r="F376" s="317"/>
      <c r="G376" s="317"/>
    </row>
    <row r="377" spans="1:7" hidden="1">
      <c r="A377" s="1287" t="str">
        <f>IF(التوصية!$B$256&gt;'معاير الائتمان'!$B$48,"• "&amp;'معاير الائتمان'!$C$48,"")</f>
        <v/>
      </c>
      <c r="B377" s="1288"/>
      <c r="C377" s="1288"/>
      <c r="D377" s="1289"/>
      <c r="E377" s="317"/>
      <c r="F377" s="317"/>
      <c r="G377" s="317"/>
    </row>
    <row r="378" spans="1:7" hidden="1">
      <c r="A378" s="1287" t="str">
        <f>IF(التوصية!$B$257&gt;'معاير الائتمان'!$B$49,"• "&amp;'معاير الائتمان'!$C$49,"")</f>
        <v/>
      </c>
      <c r="B378" s="1288"/>
      <c r="C378" s="1288"/>
      <c r="D378" s="1289"/>
      <c r="E378" s="317"/>
      <c r="F378" s="317"/>
      <c r="G378" s="317"/>
    </row>
    <row r="379" spans="1:7" ht="15.75" hidden="1">
      <c r="A379" s="1284" t="s">
        <v>388</v>
      </c>
      <c r="B379" s="1285"/>
      <c r="C379" s="1285"/>
      <c r="D379" s="1286"/>
      <c r="E379" s="317"/>
      <c r="F379" s="317"/>
      <c r="G379" s="317"/>
    </row>
    <row r="380" spans="1:7" s="317" customFormat="1" hidden="1">
      <c r="A380" s="1287"/>
      <c r="B380" s="1288"/>
      <c r="C380" s="1288"/>
      <c r="D380" s="1289"/>
    </row>
    <row r="381" spans="1:7" hidden="1">
      <c r="A381" s="1287" t="str">
        <f>IF(التوصية!$D$244='معاير الائتمان'!$A$53," • "&amp;'معاير الائتمان'!$C$53,"")</f>
        <v/>
      </c>
      <c r="B381" s="1288"/>
      <c r="C381" s="1288"/>
      <c r="D381" s="1289"/>
      <c r="E381" s="317"/>
      <c r="F381" s="317"/>
      <c r="G381" s="317"/>
    </row>
    <row r="382" spans="1:7" hidden="1">
      <c r="A382" s="1287" t="str">
        <f>IF(التوصية!$B$280&lt;'معاير الائتمان'!$B$62,""&amp;'معاير الائتمان'!$C$62,"")</f>
        <v xml:space="preserve"> • مبلغ التمويل 7,343 دولار (دون 10 الاف دولار) وبالتالي رفع نسبة الربح الى 10%</v>
      </c>
      <c r="B382" s="1288"/>
      <c r="C382" s="1288"/>
      <c r="D382" s="1289"/>
      <c r="E382" s="317"/>
      <c r="F382" s="317"/>
      <c r="G382" s="317"/>
    </row>
    <row r="383" spans="1:7" hidden="1">
      <c r="A383" s="1287" t="str">
        <f>IF(AND(التوصية!$B$280&lt;'معاير الائتمان'!$B$63,التوصية!$B$280&gt;'معاير الائتمان'!$B$62),""&amp;'معاير الائتمان'!$C$63,"")</f>
        <v/>
      </c>
      <c r="B383" s="1288"/>
      <c r="C383" s="1288"/>
      <c r="D383" s="1289"/>
      <c r="E383" s="317"/>
      <c r="F383" s="317"/>
      <c r="G383" s="317"/>
    </row>
    <row r="384" spans="1:7" hidden="1">
      <c r="A384" s="1287" t="str">
        <f>IF(AND(التوصية!$B$280&gt;'معاير الائتمان'!$B$63,التوصية!$B$280&lt;'معاير الائتمان'!$B$64),""&amp;'معاير الائتمان'!$C$64,"")</f>
        <v/>
      </c>
      <c r="B384" s="1288"/>
      <c r="C384" s="1288"/>
      <c r="D384" s="1289"/>
      <c r="E384" s="317"/>
      <c r="F384" s="317"/>
      <c r="G384" s="317"/>
    </row>
    <row r="385" spans="1:7" hidden="1">
      <c r="A385" s="1287" t="str">
        <f>IF(AND(التوصية!$D$244='معاير الائتمان'!$A$55,التوصية!$D$280&gt;'معاير الائتمان'!$B$55),""&amp;'معاير الائتمان'!$C$55,"")</f>
        <v/>
      </c>
      <c r="B385" s="1288"/>
      <c r="C385" s="1288"/>
      <c r="D385" s="1289"/>
      <c r="E385" s="317"/>
      <c r="F385" s="317"/>
      <c r="G385" s="317"/>
    </row>
    <row r="386" spans="1:7" hidden="1">
      <c r="A386" s="1287" t="str">
        <f>IF(AND(التوصية!$D$244='معاير الائتمان'!$A$56,التوصية!$D$280&gt;'معاير الائتمان'!$B$56),""&amp;'معاير الائتمان'!$C$56,"")</f>
        <v/>
      </c>
      <c r="B386" s="1288"/>
      <c r="C386" s="1288"/>
      <c r="D386" s="1289"/>
      <c r="E386" s="317"/>
      <c r="F386" s="317"/>
      <c r="G386" s="317"/>
    </row>
    <row r="387" spans="1:7" hidden="1">
      <c r="A387" s="1287" t="str">
        <f>IF(AND(التوصية!$D$244='معاير الائتمان'!$A$54,التوصية!$D$280&gt;'معاير الائتمان'!$B$54),""&amp;'معاير الائتمان'!$C$54,"")</f>
        <v/>
      </c>
      <c r="B387" s="1288"/>
      <c r="C387" s="1288"/>
      <c r="D387" s="1289"/>
      <c r="E387" s="317"/>
      <c r="F387" s="317"/>
      <c r="G387" s="317"/>
    </row>
    <row r="388" spans="1:7" hidden="1">
      <c r="A388" s="1287" t="str">
        <f>IF(AND(التوصية!$D$244='معاير الائتمان'!$A$58,التوصية!$D$280&gt;'معاير الائتمان'!$B$58),""&amp;'معاير الائتمان'!$C$58,"")</f>
        <v/>
      </c>
      <c r="B388" s="1288"/>
      <c r="C388" s="1288"/>
      <c r="D388" s="1289"/>
      <c r="E388" s="317"/>
      <c r="F388" s="317"/>
      <c r="G388" s="317"/>
    </row>
    <row r="389" spans="1:7" hidden="1">
      <c r="A389" s="1287" t="str">
        <f>IF(AND(التوصية!$D$244='معاير الائتمان'!$A$59,التوصية!$D$280&gt;'معاير الائتمان'!$B$59),""&amp;'معاير الائتمان'!$C$59,"")</f>
        <v/>
      </c>
      <c r="B389" s="1288"/>
      <c r="C389" s="1288"/>
      <c r="D389" s="1289"/>
      <c r="E389" s="317"/>
      <c r="F389" s="317"/>
      <c r="G389" s="317"/>
    </row>
    <row r="390" spans="1:7" hidden="1">
      <c r="A390" s="1287" t="str">
        <f>IF(AND(التوصية!$D$244='معاير الائتمان'!$A$57,التوصية!$D$280&gt;'معاير الائتمان'!$B$57),""&amp;'معاير الائتمان'!$C$57,"")</f>
        <v/>
      </c>
      <c r="B390" s="1288"/>
      <c r="C390" s="1288"/>
      <c r="D390" s="1289"/>
      <c r="E390" s="317"/>
      <c r="F390" s="317"/>
      <c r="G390" s="317"/>
    </row>
    <row r="391" spans="1:7" hidden="1">
      <c r="A391" s="1287" t="str">
        <f>IF(AND(التوصية!$D$244='معاير الائتمان'!$A$60,التوصية!$D$280&gt;'معاير الائتمان'!$B$60),""&amp;'معاير الائتمان'!$C$60,"")</f>
        <v/>
      </c>
      <c r="B391" s="1288"/>
      <c r="C391" s="1288"/>
      <c r="D391" s="1289"/>
      <c r="E391" s="317"/>
      <c r="F391" s="317"/>
      <c r="G391" s="317"/>
    </row>
    <row r="392" spans="1:7" ht="15.75" hidden="1" customHeight="1">
      <c r="A392" s="1287" t="str">
        <f>IF(AND(التوصية!$D$244='معاير الائتمان'!$A$61,التوصية!$D$280&gt;'معاير الائتمان'!$B$61),""&amp;'معاير الائتمان'!$C$61,"")</f>
        <v/>
      </c>
      <c r="B392" s="1288"/>
      <c r="C392" s="1288"/>
      <c r="D392" s="1289"/>
      <c r="E392" s="317"/>
      <c r="F392" s="317"/>
      <c r="G392" s="317"/>
    </row>
    <row r="393" spans="1:7" ht="15.75" hidden="1" customHeight="1">
      <c r="A393" s="1287" t="str">
        <f>'معاير الائتمان'!$C$52</f>
        <v/>
      </c>
      <c r="B393" s="1288"/>
      <c r="C393" s="1288"/>
      <c r="D393" s="1289"/>
      <c r="E393" s="317"/>
      <c r="F393" s="317"/>
      <c r="G393" s="317"/>
    </row>
    <row r="394" spans="1:7" ht="15.6" hidden="1" customHeight="1">
      <c r="A394" s="1287"/>
      <c r="B394" s="1288"/>
      <c r="C394" s="1288"/>
      <c r="D394" s="1289"/>
    </row>
    <row r="395" spans="1:7" ht="15.75">
      <c r="A395" s="1284" t="s">
        <v>1628</v>
      </c>
      <c r="B395" s="1285"/>
      <c r="C395" s="1285"/>
      <c r="D395" s="1286"/>
    </row>
    <row r="396" spans="1:7" ht="50.45" customHeight="1">
      <c r="A396" s="1281"/>
      <c r="B396" s="1282"/>
      <c r="C396" s="1282"/>
      <c r="D396" s="1283"/>
    </row>
    <row r="397" spans="1:7" ht="15.75">
      <c r="A397" s="1284" t="s">
        <v>1625</v>
      </c>
      <c r="B397" s="1285"/>
      <c r="C397" s="1285"/>
      <c r="D397" s="1286"/>
    </row>
    <row r="398" spans="1:7" ht="85.9" customHeight="1">
      <c r="A398" s="1287" t="s">
        <v>1627</v>
      </c>
      <c r="B398" s="1288"/>
      <c r="C398" s="1288"/>
      <c r="D398" s="1289"/>
    </row>
    <row r="399" spans="1:7" customFormat="1" ht="66.599999999999994" customHeight="1">
      <c r="A399" s="1189" t="s">
        <v>1638</v>
      </c>
      <c r="B399" s="1190"/>
      <c r="C399" s="1190"/>
      <c r="D399" s="1191"/>
    </row>
    <row r="400" spans="1:7" customFormat="1" ht="66.599999999999994" customHeight="1">
      <c r="A400" s="1188" t="s">
        <v>256</v>
      </c>
      <c r="B400" s="1192"/>
      <c r="C400" s="1192"/>
      <c r="D400" s="1193"/>
    </row>
    <row r="401" spans="1:5" customFormat="1" ht="66.599999999999994" customHeight="1">
      <c r="A401" s="1189" t="s">
        <v>257</v>
      </c>
      <c r="B401" s="1190"/>
      <c r="C401" s="1190"/>
      <c r="D401" s="1191"/>
    </row>
    <row r="402" spans="1:5" customFormat="1" ht="66.599999999999994" customHeight="1">
      <c r="A402" s="1188" t="s">
        <v>256</v>
      </c>
      <c r="B402" s="1192"/>
      <c r="C402" s="1192"/>
      <c r="D402" s="1193"/>
    </row>
    <row r="403" spans="1:5" customFormat="1" ht="66.599999999999994" customHeight="1">
      <c r="A403" s="1189" t="s">
        <v>1663</v>
      </c>
      <c r="B403" s="1190"/>
      <c r="C403" s="1190"/>
      <c r="D403" s="1191"/>
    </row>
    <row r="404" spans="1:5" customFormat="1" ht="66.599999999999994" customHeight="1">
      <c r="A404" s="1188" t="s">
        <v>256</v>
      </c>
      <c r="B404" s="1192"/>
      <c r="C404" s="1192"/>
      <c r="D404" s="1193"/>
    </row>
    <row r="405" spans="1:5" customFormat="1" ht="66.599999999999994" customHeight="1">
      <c r="A405" s="1189" t="s">
        <v>1626</v>
      </c>
      <c r="B405" s="1190"/>
      <c r="C405" s="1190"/>
      <c r="D405" s="1191"/>
    </row>
    <row r="406" spans="1:5" customFormat="1" ht="66.599999999999994" customHeight="1">
      <c r="A406" s="1188" t="s">
        <v>256</v>
      </c>
      <c r="B406" s="1192"/>
      <c r="C406" s="1192"/>
      <c r="D406" s="1193"/>
    </row>
    <row r="407" spans="1:5" ht="23.25">
      <c r="A407" s="653" t="s">
        <v>159</v>
      </c>
      <c r="B407" s="1049"/>
      <c r="C407" s="1049"/>
      <c r="D407" s="1049"/>
    </row>
    <row r="408" spans="1:5" ht="15.75">
      <c r="A408" s="1087" t="s">
        <v>159</v>
      </c>
      <c r="B408" s="1309"/>
      <c r="C408" s="1309"/>
      <c r="D408" s="1309"/>
    </row>
    <row r="409" spans="1:5" ht="15.75">
      <c r="A409" s="1087" t="str">
        <f>IF(FC=USD,"قيمة الضمانات بالدولار",IF(FC=ILS,"قيمة الضمانات بالشيكل",IF(FC=EUR,"قيمة الضمانات باليورو")))</f>
        <v>قيمة الضمانات بالدولار</v>
      </c>
      <c r="B409" s="1310"/>
      <c r="C409" s="1311"/>
      <c r="D409" s="1312"/>
    </row>
    <row r="410" spans="1:5" ht="15.75">
      <c r="A410" s="1087" t="s">
        <v>1614</v>
      </c>
      <c r="B410" s="1313">
        <f>B409/FCA</f>
        <v>0</v>
      </c>
      <c r="C410" s="1313"/>
      <c r="D410" s="1313"/>
    </row>
    <row r="411" spans="1:5">
      <c r="A411" s="1049"/>
      <c r="B411" s="1049"/>
      <c r="C411" s="1049"/>
      <c r="D411" s="1049"/>
    </row>
    <row r="412" spans="1:5">
      <c r="A412" s="1049"/>
      <c r="B412" s="1049"/>
      <c r="C412" s="1049"/>
      <c r="D412" s="1049"/>
    </row>
    <row r="413" spans="1:5">
      <c r="A413" s="1049"/>
      <c r="B413" s="1049"/>
      <c r="C413" s="1049"/>
      <c r="D413" s="1049"/>
    </row>
    <row r="414" spans="1:5" ht="23.25">
      <c r="A414" s="1302" t="str">
        <f ca="1">IF(OR(التوصية!$B$234='بيانات للادخال'!$S$2,التوصية!$B$234='بيانات للادخال'!$S$3),'معاير الائتمان'!$A$1,IF(OR(التوصية!$B$199='معاير الائتمان'!$B$3,التوصية!$B$199='معاير الائتمان'!$B$4),'معاير الائتمان'!$A$1,IF(التوصية!$D$8&gt;='معاير الائتمان'!$B$5,'معاير الائتمان'!$A$1,IF(التوصية!$D$14='بيانات للادخال'!$M$3,'معاير الائتمان'!$A$1,IF(التوصية!$D$198&gt;0,'معاير الائتمان'!$A$1,IF(التوصية!$D$291&gt;'معاير الائتمان'!$B$9,'معاير الائتمان'!$A$1,IF(التوصية!$B$13='بيانات للادخال'!$R$4,'معاير الائتمان'!$A$1,IF(التوصية!$D$13='بيانات للادخال'!$M$2,'معاير الائتمان'!$A$14,IF(OR(التوصية!$B$244='بيانات للادخال'!$AF$3,التوصية!$B$244='بيانات للادخال'!$AF$4,التوصية!$B$244='بيانات للادخال'!$AF$5,التوصية!$B$244='بيانات للادخال'!$AF$6,التوصية!$B$244='بيانات للادخال'!$AF$7,التوصية!$B$244='بيانات للادخال'!$AF$8,التوصية!$B$244='بيانات للادخال'!$AF$10,التوصية!$B$244='بيانات للادخال'!$AF$11,التوصية!$B$244='بيانات للادخال'!$AF$12),'معاير الائتمان'!$A$1,IF(التوصية!$D$244='بيانات للادخال'!$J$14,'معاير الائتمان'!$A$1,IF(التوصية!$B$199='معاير الائتمان'!$B$16,'معاير الائتمان'!$A$14,IF(التوصية!$D$23+التوصية!$D$29+التوصية!$D$35+التوصية!$D$41&gt;التوصية!$D$174*0.9,'معاير الائتمان'!$A$14,IF(AND(التوصية!$D$291&gt;'معاير الائتمان'!$B$19,التوصية!$D$291&lt;'معاير الائتمان'!$B$9),'معاير الائتمان'!$A$14,IF((TODAY()-التوصية!$D$21)/365&lt;1,'معاير الائتمان'!$A$14,IF(OR(التوصية!$B$22='معاير الائتمان'!$B$21,التوصية!$B$22='معاير الائتمان'!$B$22),'معاير الائتمان'!$A$14,IF(التوصية!$B$206='معاير الائتمان'!$B$24,'معاير الائتمان'!$A$14,IF(التوصية!$B$206='معاير الائتمان'!$B$25,'معاير الائتمان'!$A$14,IF(التوصية!$B$213='معاير الائتمان'!$B$26,'معاير الائتمان'!$A$14,IF(التوصية!$B$213='معاير الائتمان'!$B$27,'معاير الائتمان'!$A$14,IF(OR(التوصية!$B$220='معاير الائتمان'!$B$28,التوصية!$B$220='معاير الائتمان'!$B$29),'معاير الائتمان'!$A$14,IF(OR(التوصية!$B$227='معاير الائتمان'!$B$28,التوصية!$B$227='معاير الائتمان'!$B$29),'معاير الائتمان'!$A$14,IF(التوصية!$B$246='معاير الائتمان'!$B$40,'معاير الائتمان'!$A$14,IF(OR(التوصية!$D$244='معاير الائتمان'!$B$41,التوصية!$D$244='معاير الائتمان'!$B$42,التوصية!$D$244='معاير الائتمان'!$B$43,التوصية!$D$244='معاير الائتمان'!$B$44),'معاير الائتمان'!$A$14,IF(التوصية!$B$253&gt;'معاير الائتمان'!$B$45,'معاير الائتمان'!$A$14,IF(التوصية!$B$254&gt;'معاير الائتمان'!$B$46,'معاير الائتمان'!$A$14,IF(OR(التوصية!$B$255&gt;'معاير الائتمان'!$B$47,التوصية!$B$256&gt;'معاير الائتمان'!$B$48,التوصية!$B$257&gt;'معاير الائتمان'!$B$49),'معاير الائتمان'!$A$14,IF(AND(التوصية!$D$258&gt;'معاير الائتمان'!$B$50,التوصية!$D$258&lt;'معاير الائتمان'!$B$51),'معاير الائتمان'!$A$14,IF(التوصية!$D$244='معاير الائتمان'!$A$53,'معاير الائتمان'!$A$14,IF(OR(التوصية!$B$280&lt;'معاير الائتمان'!$B$62,التوصية!$B$280&lt;'معاير الائتمان'!$B$63,التوصية!$B$280&lt;'معاير الائتمان'!$B$64),'معاير الائتمان'!$A$14,IF(OR(التوصية!$D$244='بيانات للادخال'!$J$2,التوصية!$D$244='بيانات للادخال'!$J$3,التوصية!$D$244='بيانات للادخال'!$J$4,التوصية!$D$244='بيانات للادخال'!$J$8,التوصية!$D$244='بيانات للادخال'!$J$11,التوصية!$D$244='بيانات للادخال'!$J$12,التوصية!$D$244='بيانات للادخال'!$J$13),'معاير الائتمان'!$A$14,IF(OR(AND(التوصية!$D$244='معاير الائتمان'!$A$54,التوصية!$D$280&gt;'معاير الائتمان'!$B$54),AND(التوصية!$D$244='معاير الائتمان'!$A$55,التوصية!$D$280&gt;'معاير الائتمان'!$B$55),AND(التوصية!$D$244='معاير الائتمان'!$A$56,التوصية!$D$280&gt;'معاير الائتمان'!$B$56),AND(التوصية!$D$244='معاير الائتمان'!$A$57,التوصية!$D$280&gt;'معاير الائتمان'!$B$57),AND(التوصية!$D$244='معاير الائتمان'!$A$58,التوصية!$D$280&gt;'معاير الائتمان'!$B$58),AND(التوصية!$D$244='معاير الائتمان'!$A$59,التوصية!$D$280&gt;'معاير الائتمان'!$B$59),AND(التوصية!$D$244='معاير الائتمان'!$A$60,التوصية!$D$280&gt;'معاير الائتمان'!$B$60),AND(التوصية!$D$244='معاير الائتمان'!$A$61,التوصية!$D$280&gt;'معاير الائتمان'!$B$61)),'معاير الائتمان'!$A$14,IF(OR(التوصية!$B$9='بيانات للادخال'!$Q$3,التوصية!$B$9='بيانات للادخال'!$Q$4),IF(IF(التوصية!$B$279='بيانات للادخال'!$A$2,التوصية!B280,IF(التوصية!$B$279='بيانات للادخال'!$A$3,التوصية!B280/usdrate))&gt;=التوصية!$B$280,'معاير الائتمان'!$A$14,IF(OR(التوصية!$B235='بيانات للادخال'!$S$2,التوصية!$B235='بيانات للادخال'!$S$3,التوصية!$B235='بيانات للادخال'!$S$4,التوصية!$B235='بيانات للادخال'!$S$5),'معاير الائتمان'!$A$14,IF(OR(التوصية!$B236='بيانات للادخال'!$S$2,التوصية!$B236='بيانات للادخال'!$S$3,التوصية!$B236='بيانات للادخال'!$S$4,التوصية!$B236='بيانات للادخال'!$S$5),'معاير الائتمان'!$A$14,IF(OR(التوصية!$B237='بيانات للادخال'!$S$2,التوصية!$B237='بيانات للادخال'!$S$3,التوصية!$B237='بيانات للادخال'!$S$4,التوصية!$B237='بيانات للادخال'!$S$5),'معاير الائتمان'!$A$14,IF(OR(التوصية!$B238='بيانات للادخال'!$S$2,التوصية!$B238='بيانات للادخال'!$S$3,التوصية!$B238='بيانات للادخال'!$S$4,التوصية!$B238='بيانات للادخال'!$S$5),'معاير الائتمان'!$A$14,'معاير الائتمان'!$A$69)))))))))))))))))))))))))))))))))))))</f>
        <v>تحفظّ</v>
      </c>
      <c r="B414" s="1302"/>
      <c r="C414" s="1302"/>
      <c r="D414" s="1302"/>
      <c r="E414" s="648" t="b">
        <f>IF(التوصية!$D$244='معاير الائتمان'!$A$53,'معاير الائتمان'!$A$14)</f>
        <v>0</v>
      </c>
    </row>
    <row r="416" spans="1:5">
      <c r="A416" s="1057" t="s">
        <v>385</v>
      </c>
      <c r="B416" s="1057"/>
      <c r="C416" s="1057"/>
      <c r="D416" s="1057"/>
    </row>
    <row r="417" spans="1:4" ht="15.75">
      <c r="A417" s="1303" t="e">
        <f ca="1">IF(التوصية!$B$199='معاير الائتمان'!$B$3,"• "&amp;'معاير الائتمان'!$C$3,"")&amp;IF(التوصية!$B$199='معاير الائتمان'!$B$4,"
• "&amp;'معاير الائتمان'!$C$4,"")&amp;IF(OR(التوصية!$B$234='بيانات للادخال'!$S$2,التوصية!$B$234='بيانات للادخال'!$S$3),"
• "&amp;'معاير الائتمان'!$C$6,"")&amp;IF(التوصية!$D$8&gt;='معاير الائتمان'!$B$5,"
• "&amp;'معاير الائتمان'!$C$5,"")&amp;IF(التوصية!$D$14='بيانات للادخال'!$M$3,"
• "&amp;'معاير الائتمان'!$C$7,"")&amp;IF(التوصية!$D$198&gt;0,"
• "&amp;'معاير الائتمان'!$C$8,"")&amp;IF(التوصية!$D$291&gt;'معاير الائتمان'!$B$9,"
• "&amp;'معاير الائتمان'!$C$9,"")&amp;IF(التوصية!$B$13='بيانات للادخال'!$R$4,"
• "&amp;'معاير الائتمان'!$C$10,"")&amp;IF(التوصية!$B$199='معاير الائتمان'!$B$16,"
• "&amp;'معاير الائتمان'!$C$16,"")&amp;IF(التوصية!$D$23+التوصية!$D$29+التوصية!$D$35+التوصية!$D$41&gt;التوصية!$D$174*0.9,"
• "&amp;'معاير الائتمان'!$B$17,"")&amp;IF(AND(التوصية!$D$291&gt;'معاير الائتمان'!$B$19,التوصية!$D$291&lt;'معاير الائتمان'!$B$9),"
• "&amp;'معاير الائتمان'!$C$19,"")&amp;IF((TODAY()-التوصية!$D$21)/365&lt;1,"
• "&amp;'معاير الائتمان'!$C$20,"")&amp;IF(التوصية!$B$22='معاير الائتمان'!$B$21,"
• "&amp;'معاير الائتمان'!$C$21,"")&amp;IF(التوصية!$B$22='معاير الائتمان'!$B$22,"
• "&amp;'معاير الائتمان'!$C$22,"")&amp;IF(التوصية!$D$13='بيانات للادخال'!$M$2,"
• "&amp;'معاير الائتمان'!$C$23,"")&amp;IF(OR(التوصية!$B$9='بيانات للادخال'!$Q$3,التوصية!$B$9='بيانات للادخال'!$Q$4),"
• "&amp;'معاير الائتمان'!$C$65,"")</f>
        <v>#DIV/0!</v>
      </c>
      <c r="B417" s="1304"/>
      <c r="C417" s="1304"/>
      <c r="D417" s="1305"/>
    </row>
    <row r="418" spans="1:4">
      <c r="A418" s="1057" t="s">
        <v>186</v>
      </c>
      <c r="B418" s="1057"/>
      <c r="C418" s="1057"/>
      <c r="D418" s="1057"/>
    </row>
    <row r="419" spans="1:4" ht="15.75">
      <c r="A419" s="1306" t="str">
        <f>IF(OR(التوصية!$B$244='بيانات للادخال'!$AF$3,التوصية!$B$244='بيانات للادخال'!$AF$4,التوصية!$B$244='بيانات للادخال'!$AF$5,التوصية!$B$244='بيانات للادخال'!$AF$6,التوصية!$B$244='بيانات للادخال'!$AF$7,التوصية!$B$244='بيانات للادخال'!$AF$8,التوصية!$B$244='بيانات للادخال'!$AF$10,التوصية!$B$244='بيانات للادخال'!$AF$11,التوصية!$B$244='بيانات للادخال'!$AF$12),"• "&amp;'معاير الائتمان'!$C$11,"")&amp;IF(التوصية!$D$244='بيانات للادخال'!$J$14,"
• "&amp;'معاير الائتمان'!$C$12,"")&amp;IF(التوصية!$B$253&gt;'معاير الائتمان'!$B$45,"
• "&amp;'معاير الائتمان'!$C$45,"")&amp;IF(التوصية!$B$254&gt;'معاير الائتمان'!$B$46,"
• "&amp;'معاير الائتمان'!$C$46,"")&amp;IF(التوصية!$B$255&gt;'معاير الائتمان'!$B$47,"
• "&amp;'معاير الائتمان'!$C$47,"")&amp;IF(التوصية!$B$256&gt;'معاير الائتمان'!$B$48,"
• "&amp;'معاير الائتمان'!$C$48,"")&amp;IF(التوصية!$B$257&gt;'معاير الائتمان'!$B$49,"
• "&amp;'معاير الائتمان'!$C$49,"")</f>
        <v xml:space="preserve">
• رفع الدفعة الأولى للاصل (0) الى 129% كون قيمة عرض السعر  اعلى بنسبة 100% من متوسط القيمة السوقية</v>
      </c>
      <c r="B419" s="1307"/>
      <c r="C419" s="1307"/>
      <c r="D419" s="1308"/>
    </row>
    <row r="420" spans="1:4">
      <c r="A420" s="1057" t="s">
        <v>388</v>
      </c>
      <c r="B420" s="1057"/>
      <c r="C420" s="1057"/>
      <c r="D420" s="1057"/>
    </row>
    <row r="421" spans="1:4" ht="15.75">
      <c r="A421" s="1306" t="str">
        <f>IF(التوصية!$D$244='معاير الائتمان'!$A$53," • "&amp;'معاير الائتمان'!$C$53,"")&amp;IF(التوصية!$B$280&lt;'معاير الائتمان'!$B$62,"
"&amp;'معاير الائتمان'!$C$62,"")&amp;IF(AND(التوصية!$B$280&lt;'معاير الائتمان'!$B$63,التوصية!$B$280&gt;'معاير الائتمان'!$B$62),"
"&amp;'معاير الائتمان'!$C$63,"")&amp;IF(AND(التوصية!$B$280&gt;'معاير الائتمان'!$B$63,التوصية!$B$280&lt;'معاير الائتمان'!$B$64),"
"&amp;'معاير الائتمان'!$C$64,"")&amp;IF(AND(التوصية!$D$244='معاير الائتمان'!$A$54,التوصية!$D$280&gt;'معاير الائتمان'!$B$54),"
"&amp;'معاير الائتمان'!$C$54,"")&amp;IF(AND(التوصية!$D$244='معاير الائتمان'!$A$55,التوصية!$D$280&gt;'معاير الائتمان'!$B$55),"
"&amp;'معاير الائتمان'!$C$55,"")&amp;IF(AND(التوصية!$D$244='معاير الائتمان'!$A$56,التوصية!$D$280&gt;'معاير الائتمان'!$B$56),"
"&amp;'معاير الائتمان'!$C$56,"")&amp;IF(AND(التوصية!$D$244='معاير الائتمان'!$A$57,التوصية!$D$280&gt;'معاير الائتمان'!$B$57),"
"&amp;'معاير الائتمان'!$C$57,"")&amp;IF(AND(التوصية!$D$244='معاير الائتمان'!$A$58,التوصية!$D$280&gt;'معاير الائتمان'!$B$58),"
"&amp;'معاير الائتمان'!$C$58,"")&amp;IF(AND(التوصية!$D$244='معاير الائتمان'!$A$59,التوصية!$D$280&gt;'معاير الائتمان'!$B$59),"
"&amp;'معاير الائتمان'!$C$59,"")&amp;IF(AND(التوصية!$D$244='معاير الائتمان'!$A$60,التوصية!$D$280&gt;'معاير الائتمان'!$B$60),"
"&amp;'معاير الائتمان'!$C$60,"")&amp;IF(AND(التوصية!$D$244='معاير الائتمان'!$A$61,التوصية!$D$280&gt;'معاير الائتمان'!$B$61),"
"&amp;'معاير الائتمان'!$C$61,"")</f>
        <v xml:space="preserve">
 • مبلغ التمويل 7,343 دولار (دون 10 الاف دولار) وبالتالي رفع نسبة الربح الى 10%</v>
      </c>
      <c r="B421" s="1307"/>
      <c r="C421" s="1307"/>
      <c r="D421" s="1308"/>
    </row>
    <row r="422" spans="1:4">
      <c r="A422" s="1057" t="s">
        <v>159</v>
      </c>
      <c r="B422" s="1057"/>
      <c r="C422" s="1057"/>
      <c r="D422" s="1057"/>
    </row>
    <row r="423" spans="1:4" ht="15.75">
      <c r="A423" s="1306" t="str">
        <f>IF(OR(التوصية!$D$244='معاير الائتمان'!$B$41,التوصية!$D$244='معاير الائتمان'!$B$42,التوصية!$D$244='معاير الائتمان'!$B$43,التوصية!$D$244='معاير الائتمان'!$B$44),'معاير الائتمان'!$C$41,"")&amp;IF(التوصية!$D$258&gt;'معاير الائتمان'!$B$50,"
• "&amp;'معاير الائتمان'!$C$50,"")&amp;IF(التوصية!$D$258&gt;'معاير الائتمان'!$B$51,"
• "&amp;'معاير الائتمان'!$C$51,"")</f>
        <v/>
      </c>
      <c r="B423" s="1307"/>
      <c r="C423" s="1307"/>
      <c r="D423" s="1308"/>
    </row>
    <row r="424" spans="1:4" ht="15.75">
      <c r="A424" s="1314" t="str">
        <f>IF(OR(التوصية!$D$244='معاير الائتمان'!$B$41,التوصية!$D$244='معاير الائتمان'!$B$42,التوصية!$D$244='معاير الائتمان'!$B$43,التوصية!$D$244='معاير الائتمان'!$B$44),'معاير الائتمان'!$C$41,"")</f>
        <v/>
      </c>
      <c r="B424" s="1315"/>
      <c r="C424" s="1315"/>
      <c r="D424" s="1316"/>
    </row>
    <row r="425" spans="1:4" ht="15.75">
      <c r="A425" s="1314" t="str">
        <f>IF(التوصية!$D$258&gt;'معاير الائتمان'!$B$50,"• "&amp;'معاير الائتمان'!$C$50,"")</f>
        <v/>
      </c>
      <c r="B425" s="1315"/>
      <c r="C425" s="1315"/>
      <c r="D425" s="1316"/>
    </row>
    <row r="426" spans="1:4" ht="15.75">
      <c r="A426" s="1317" t="str">
        <f>IF(التوصية!$D$258&gt;'معاير الائتمان'!$B$51,"• "&amp;'معاير الائتمان'!$C$51,"")</f>
        <v/>
      </c>
      <c r="B426" s="1318"/>
      <c r="C426" s="1318"/>
      <c r="D426" s="1319"/>
    </row>
  </sheetData>
  <mergeCells count="171">
    <mergeCell ref="A414:D414"/>
    <mergeCell ref="A417:D417"/>
    <mergeCell ref="A419:D419"/>
    <mergeCell ref="B408:D408"/>
    <mergeCell ref="B409:D409"/>
    <mergeCell ref="B410:D410"/>
    <mergeCell ref="A424:D424"/>
    <mergeCell ref="A425:D425"/>
    <mergeCell ref="A426:D426"/>
    <mergeCell ref="A421:D421"/>
    <mergeCell ref="A423:D423"/>
    <mergeCell ref="A54:D54"/>
    <mergeCell ref="A66:D66"/>
    <mergeCell ref="A90:D90"/>
    <mergeCell ref="A299:D299"/>
    <mergeCell ref="A231:D231"/>
    <mergeCell ref="A156:D156"/>
    <mergeCell ref="A162:D162"/>
    <mergeCell ref="A150:D150"/>
    <mergeCell ref="A240:D240"/>
    <mergeCell ref="A250:D250"/>
    <mergeCell ref="A260:D260"/>
    <mergeCell ref="A287:D287"/>
    <mergeCell ref="A138:D138"/>
    <mergeCell ref="A168:D168"/>
    <mergeCell ref="B167:D167"/>
    <mergeCell ref="B155:D155"/>
    <mergeCell ref="B161:D161"/>
    <mergeCell ref="A144:D144"/>
    <mergeCell ref="B149:D149"/>
    <mergeCell ref="B15:D15"/>
    <mergeCell ref="B16:D16"/>
    <mergeCell ref="B17:D17"/>
    <mergeCell ref="B18:D18"/>
    <mergeCell ref="B19:D19"/>
    <mergeCell ref="A102:D102"/>
    <mergeCell ref="B139:D139"/>
    <mergeCell ref="A194:D194"/>
    <mergeCell ref="A72:D72"/>
    <mergeCell ref="A114:D114"/>
    <mergeCell ref="B137:D137"/>
    <mergeCell ref="B119:D119"/>
    <mergeCell ref="B131:D131"/>
    <mergeCell ref="B107:D107"/>
    <mergeCell ref="B101:D101"/>
    <mergeCell ref="B95:D95"/>
    <mergeCell ref="B89:D89"/>
    <mergeCell ref="B79:D79"/>
    <mergeCell ref="A120:D120"/>
    <mergeCell ref="A132:D132"/>
    <mergeCell ref="A84:D84"/>
    <mergeCell ref="B65:D65"/>
    <mergeCell ref="A46:D46"/>
    <mergeCell ref="A44:D44"/>
    <mergeCell ref="A328:D328"/>
    <mergeCell ref="A329:D329"/>
    <mergeCell ref="A330:D330"/>
    <mergeCell ref="A331:D331"/>
    <mergeCell ref="A332:D332"/>
    <mergeCell ref="A25:D25"/>
    <mergeCell ref="A31:D31"/>
    <mergeCell ref="A20:D20"/>
    <mergeCell ref="A26:D26"/>
    <mergeCell ref="A126:D126"/>
    <mergeCell ref="B71:D71"/>
    <mergeCell ref="B77:D77"/>
    <mergeCell ref="A32:D32"/>
    <mergeCell ref="A108:D108"/>
    <mergeCell ref="B125:D125"/>
    <mergeCell ref="B109:D109"/>
    <mergeCell ref="A78:D78"/>
    <mergeCell ref="B37:D37"/>
    <mergeCell ref="B59:D59"/>
    <mergeCell ref="A38:D38"/>
    <mergeCell ref="B43:D43"/>
    <mergeCell ref="B49:D49"/>
    <mergeCell ref="A96:D96"/>
    <mergeCell ref="A60:D60"/>
    <mergeCell ref="A338:D338"/>
    <mergeCell ref="A339:D339"/>
    <mergeCell ref="A340:D340"/>
    <mergeCell ref="A341:D341"/>
    <mergeCell ref="A342:D342"/>
    <mergeCell ref="A333:D333"/>
    <mergeCell ref="A334:D334"/>
    <mergeCell ref="A335:D335"/>
    <mergeCell ref="A336:D336"/>
    <mergeCell ref="A337:D337"/>
    <mergeCell ref="A348:D348"/>
    <mergeCell ref="A349:D349"/>
    <mergeCell ref="A350:D350"/>
    <mergeCell ref="A351:D351"/>
    <mergeCell ref="A352:D352"/>
    <mergeCell ref="A343:D343"/>
    <mergeCell ref="A344:D344"/>
    <mergeCell ref="A345:D345"/>
    <mergeCell ref="A346:D346"/>
    <mergeCell ref="A347:D347"/>
    <mergeCell ref="A358:D358"/>
    <mergeCell ref="A359:D359"/>
    <mergeCell ref="A360:D360"/>
    <mergeCell ref="A361:D361"/>
    <mergeCell ref="A362:D362"/>
    <mergeCell ref="A353:D353"/>
    <mergeCell ref="A354:D354"/>
    <mergeCell ref="A355:D355"/>
    <mergeCell ref="A356:D356"/>
    <mergeCell ref="A357:D357"/>
    <mergeCell ref="A368:D368"/>
    <mergeCell ref="A369:D369"/>
    <mergeCell ref="A370:D370"/>
    <mergeCell ref="A371:D371"/>
    <mergeCell ref="A372:D372"/>
    <mergeCell ref="A363:D363"/>
    <mergeCell ref="A364:D364"/>
    <mergeCell ref="A365:D365"/>
    <mergeCell ref="A366:D366"/>
    <mergeCell ref="A367:D367"/>
    <mergeCell ref="A387:D387"/>
    <mergeCell ref="A378:D378"/>
    <mergeCell ref="A379:D379"/>
    <mergeCell ref="A380:D380"/>
    <mergeCell ref="A381:D381"/>
    <mergeCell ref="A382:D382"/>
    <mergeCell ref="A373:D373"/>
    <mergeCell ref="A374:D374"/>
    <mergeCell ref="A375:D375"/>
    <mergeCell ref="A376:D376"/>
    <mergeCell ref="A377:D377"/>
    <mergeCell ref="A314:D314"/>
    <mergeCell ref="A315:D315"/>
    <mergeCell ref="A316:D316"/>
    <mergeCell ref="A317:D317"/>
    <mergeCell ref="A318:D318"/>
    <mergeCell ref="A301:D301"/>
    <mergeCell ref="A302:D302"/>
    <mergeCell ref="A303:D303"/>
    <mergeCell ref="A304:D304"/>
    <mergeCell ref="A305:D305"/>
    <mergeCell ref="A306:D306"/>
    <mergeCell ref="A307:D307"/>
    <mergeCell ref="A308:D308"/>
    <mergeCell ref="A309:D309"/>
    <mergeCell ref="A310:D310"/>
    <mergeCell ref="A311:D311"/>
    <mergeCell ref="A312:D312"/>
    <mergeCell ref="A313:D313"/>
    <mergeCell ref="A396:D396"/>
    <mergeCell ref="A397:D397"/>
    <mergeCell ref="A398:D398"/>
    <mergeCell ref="A395:D395"/>
    <mergeCell ref="A324:D324"/>
    <mergeCell ref="A325:D325"/>
    <mergeCell ref="A326:D326"/>
    <mergeCell ref="A327:D327"/>
    <mergeCell ref="A319:D319"/>
    <mergeCell ref="A320:D320"/>
    <mergeCell ref="A321:D321"/>
    <mergeCell ref="A322:D322"/>
    <mergeCell ref="A323:D323"/>
    <mergeCell ref="A393:D393"/>
    <mergeCell ref="A394:D394"/>
    <mergeCell ref="A388:D388"/>
    <mergeCell ref="A389:D389"/>
    <mergeCell ref="A390:D390"/>
    <mergeCell ref="A391:D391"/>
    <mergeCell ref="A392:D392"/>
    <mergeCell ref="A383:D383"/>
    <mergeCell ref="A384:D384"/>
    <mergeCell ref="A385:D385"/>
    <mergeCell ref="A386:D386"/>
  </mergeCells>
  <conditionalFormatting sqref="A141 W248:W249 C141 C284 D248 A248 B249:C249 D13:D14">
    <cfRule type="cellIs" dxfId="1440" priority="4360" operator="equal">
      <formula>"n/a"</formula>
    </cfRule>
  </conditionalFormatting>
  <conditionalFormatting sqref="C45">
    <cfRule type="cellIs" dxfId="1439" priority="4357" operator="equal">
      <formula>"n/a"</formula>
    </cfRule>
  </conditionalFormatting>
  <conditionalFormatting sqref="C45 D248 B249 D13:D14">
    <cfRule type="cellIs" dxfId="1438" priority="4358" operator="equal">
      <formula>""</formula>
    </cfRule>
  </conditionalFormatting>
  <conditionalFormatting sqref="A44">
    <cfRule type="cellIs" dxfId="1437" priority="4225" operator="equal">
      <formula>"n/a"</formula>
    </cfRule>
    <cfRule type="cellIs" dxfId="1436" priority="4226" operator="equal">
      <formula>""</formula>
    </cfRule>
  </conditionalFormatting>
  <conditionalFormatting sqref="W243:W246">
    <cfRule type="cellIs" dxfId="1435" priority="4217" operator="equal">
      <formula>"n/a"</formula>
    </cfRule>
    <cfRule type="cellIs" dxfId="1434" priority="4218" operator="equal">
      <formula>""</formula>
    </cfRule>
  </conditionalFormatting>
  <conditionalFormatting sqref="W247">
    <cfRule type="cellIs" dxfId="1433" priority="4209" operator="equal">
      <formula>"n/a"</formula>
    </cfRule>
    <cfRule type="cellIs" dxfId="1432" priority="4210" operator="equal">
      <formula>""</formula>
    </cfRule>
  </conditionalFormatting>
  <conditionalFormatting sqref="A49">
    <cfRule type="cellIs" dxfId="1431" priority="4195" operator="equal">
      <formula>"n/a"</formula>
    </cfRule>
  </conditionalFormatting>
  <conditionalFormatting sqref="A49">
    <cfRule type="cellIs" dxfId="1430" priority="4196" operator="equal">
      <formula>""</formula>
    </cfRule>
  </conditionalFormatting>
  <conditionalFormatting sqref="V248">
    <cfRule type="cellIs" dxfId="1429" priority="4131" operator="equal">
      <formula>""</formula>
    </cfRule>
  </conditionalFormatting>
  <conditionalFormatting sqref="V248">
    <cfRule type="cellIs" dxfId="1428" priority="4130" operator="equal">
      <formula>"n/a"</formula>
    </cfRule>
  </conditionalFormatting>
  <conditionalFormatting sqref="V248">
    <cfRule type="cellIs" dxfId="1427" priority="4129" operator="equal">
      <formula>"Need to specify income type"</formula>
    </cfRule>
  </conditionalFormatting>
  <conditionalFormatting sqref="A10">
    <cfRule type="cellIs" dxfId="1426" priority="4066" operator="equal">
      <formula>"n/a"</formula>
    </cfRule>
  </conditionalFormatting>
  <conditionalFormatting sqref="A12 C12">
    <cfRule type="cellIs" dxfId="1425" priority="4062" operator="equal">
      <formula>"n/a"</formula>
    </cfRule>
  </conditionalFormatting>
  <conditionalFormatting sqref="A14:A15">
    <cfRule type="cellIs" dxfId="1424" priority="4060" operator="equal">
      <formula>""</formula>
    </cfRule>
  </conditionalFormatting>
  <conditionalFormatting sqref="A14:A15">
    <cfRule type="cellIs" dxfId="1423" priority="4059" operator="equal">
      <formula>"n/a"</formula>
    </cfRule>
  </conditionalFormatting>
  <conditionalFormatting sqref="C246">
    <cfRule type="cellIs" dxfId="1422" priority="4052" operator="equal">
      <formula>"n/a"</formula>
    </cfRule>
  </conditionalFormatting>
  <conditionalFormatting sqref="A150">
    <cfRule type="cellIs" dxfId="1421" priority="3547" operator="equal">
      <formula>"n/a"</formula>
    </cfRule>
    <cfRule type="cellIs" dxfId="1420" priority="3548" operator="equal">
      <formula>""</formula>
    </cfRule>
  </conditionalFormatting>
  <conditionalFormatting sqref="C140">
    <cfRule type="cellIs" dxfId="1419" priority="3651" operator="equal">
      <formula>"n/a"</formula>
    </cfRule>
  </conditionalFormatting>
  <conditionalFormatting sqref="C140">
    <cfRule type="cellIs" dxfId="1418" priority="3652" operator="equal">
      <formula>""</formula>
    </cfRule>
  </conditionalFormatting>
  <conditionalFormatting sqref="A144">
    <cfRule type="cellIs" dxfId="1417" priority="3633" operator="equal">
      <formula>"n/a"</formula>
    </cfRule>
    <cfRule type="cellIs" dxfId="1416" priority="3634" operator="equal">
      <formula>""</formula>
    </cfRule>
  </conditionalFormatting>
  <conditionalFormatting sqref="A162">
    <cfRule type="cellIs" dxfId="1415" priority="3545" operator="equal">
      <formula>"n/a"</formula>
    </cfRule>
    <cfRule type="cellIs" dxfId="1414" priority="3546" operator="equal">
      <formula>""</formula>
    </cfRule>
  </conditionalFormatting>
  <conditionalFormatting sqref="A156">
    <cfRule type="cellIs" dxfId="1413" priority="3543" operator="equal">
      <formula>"n/a"</formula>
    </cfRule>
    <cfRule type="cellIs" dxfId="1412" priority="3544" operator="equal">
      <formula>""</formula>
    </cfRule>
  </conditionalFormatting>
  <conditionalFormatting sqref="V247">
    <cfRule type="cellIs" dxfId="1411" priority="3311" operator="equal">
      <formula>"n/a"</formula>
    </cfRule>
  </conditionalFormatting>
  <conditionalFormatting sqref="V247">
    <cfRule type="cellIs" dxfId="1410" priority="3312" operator="equal">
      <formula>""</formula>
    </cfRule>
  </conditionalFormatting>
  <conditionalFormatting sqref="V243:V246">
    <cfRule type="cellIs" dxfId="1409" priority="3309" operator="equal">
      <formula>"n/a"</formula>
    </cfRule>
  </conditionalFormatting>
  <conditionalFormatting sqref="V243:V246">
    <cfRule type="cellIs" dxfId="1408" priority="3310" operator="equal">
      <formula>""</formula>
    </cfRule>
  </conditionalFormatting>
  <conditionalFormatting sqref="C280">
    <cfRule type="cellIs" dxfId="1407" priority="3219" operator="equal">
      <formula>"n/a"</formula>
    </cfRule>
  </conditionalFormatting>
  <conditionalFormatting sqref="C285">
    <cfRule type="cellIs" dxfId="1406" priority="3217" operator="equal">
      <formula>"n/a"</formula>
    </cfRule>
  </conditionalFormatting>
  <conditionalFormatting sqref="A142">
    <cfRule type="cellIs" dxfId="1405" priority="3049" operator="equal">
      <formula>"n/a"</formula>
    </cfRule>
  </conditionalFormatting>
  <conditionalFormatting sqref="A114">
    <cfRule type="cellIs" dxfId="1404" priority="3403" operator="equal">
      <formula>"n/a"</formula>
    </cfRule>
    <cfRule type="cellIs" dxfId="1403" priority="3404" operator="equal">
      <formula>""</formula>
    </cfRule>
  </conditionalFormatting>
  <conditionalFormatting sqref="A120">
    <cfRule type="cellIs" dxfId="1402" priority="3399" operator="equal">
      <formula>"n/a"</formula>
    </cfRule>
    <cfRule type="cellIs" dxfId="1401" priority="3400" operator="equal">
      <formula>""</formula>
    </cfRule>
  </conditionalFormatting>
  <conditionalFormatting sqref="A84">
    <cfRule type="cellIs" dxfId="1400" priority="3397" operator="equal">
      <formula>"n/a"</formula>
    </cfRule>
    <cfRule type="cellIs" dxfId="1399" priority="3398" operator="equal">
      <formula>""</formula>
    </cfRule>
  </conditionalFormatting>
  <conditionalFormatting sqref="A90">
    <cfRule type="cellIs" dxfId="1398" priority="3393" operator="equal">
      <formula>"n/a"</formula>
    </cfRule>
    <cfRule type="cellIs" dxfId="1397" priority="3394" operator="equal">
      <formula>""</formula>
    </cfRule>
  </conditionalFormatting>
  <conditionalFormatting sqref="A54">
    <cfRule type="cellIs" dxfId="1396" priority="3391" operator="equal">
      <formula>"n/a"</formula>
    </cfRule>
    <cfRule type="cellIs" dxfId="1395" priority="3392" operator="equal">
      <formula>""</formula>
    </cfRule>
  </conditionalFormatting>
  <conditionalFormatting sqref="A60">
    <cfRule type="cellIs" dxfId="1394" priority="3387" operator="equal">
      <formula>"n/a"</formula>
    </cfRule>
    <cfRule type="cellIs" dxfId="1393" priority="3388" operator="equal">
      <formula>""</formula>
    </cfRule>
  </conditionalFormatting>
  <conditionalFormatting sqref="C286">
    <cfRule type="cellIs" dxfId="1392" priority="3215" operator="equal">
      <formula>"n/a"</formula>
    </cfRule>
  </conditionalFormatting>
  <conditionalFormatting sqref="A20">
    <cfRule type="cellIs" dxfId="1391" priority="3349" operator="equal">
      <formula>"n/a"</formula>
    </cfRule>
    <cfRule type="cellIs" dxfId="1390" priority="3350" operator="equal">
      <formula>""</formula>
    </cfRule>
  </conditionalFormatting>
  <conditionalFormatting sqref="A26">
    <cfRule type="cellIs" dxfId="1389" priority="3347" operator="equal">
      <formula>"n/a"</formula>
    </cfRule>
    <cfRule type="cellIs" dxfId="1388" priority="3348" operator="equal">
      <formula>""</formula>
    </cfRule>
  </conditionalFormatting>
  <conditionalFormatting sqref="A132">
    <cfRule type="cellIs" dxfId="1387" priority="3345" operator="equal">
      <formula>"n/a"</formula>
    </cfRule>
    <cfRule type="cellIs" dxfId="1386" priority="3346" operator="equal">
      <formula>""</formula>
    </cfRule>
  </conditionalFormatting>
  <conditionalFormatting sqref="A126">
    <cfRule type="cellIs" dxfId="1385" priority="3343" operator="equal">
      <formula>"n/a"</formula>
    </cfRule>
    <cfRule type="cellIs" dxfId="1384" priority="3344" operator="equal">
      <formula>""</formula>
    </cfRule>
  </conditionalFormatting>
  <conditionalFormatting sqref="A102">
    <cfRule type="cellIs" dxfId="1383" priority="3341" operator="equal">
      <formula>"n/a"</formula>
    </cfRule>
    <cfRule type="cellIs" dxfId="1382" priority="3342" operator="equal">
      <formula>""</formula>
    </cfRule>
  </conditionalFormatting>
  <conditionalFormatting sqref="A96">
    <cfRule type="cellIs" dxfId="1381" priority="3339" operator="equal">
      <formula>"n/a"</formula>
    </cfRule>
    <cfRule type="cellIs" dxfId="1380" priority="3340" operator="equal">
      <formula>""</formula>
    </cfRule>
  </conditionalFormatting>
  <conditionalFormatting sqref="A72">
    <cfRule type="cellIs" dxfId="1379" priority="3337" operator="equal">
      <formula>"n/a"</formula>
    </cfRule>
    <cfRule type="cellIs" dxfId="1378" priority="3338" operator="equal">
      <formula>""</formula>
    </cfRule>
  </conditionalFormatting>
  <conditionalFormatting sqref="A66">
    <cfRule type="cellIs" dxfId="1377" priority="3335" operator="equal">
      <formula>"n/a"</formula>
    </cfRule>
    <cfRule type="cellIs" dxfId="1376" priority="3336" operator="equal">
      <formula>""</formula>
    </cfRule>
  </conditionalFormatting>
  <conditionalFormatting sqref="A38">
    <cfRule type="cellIs" dxfId="1375" priority="3333" operator="equal">
      <formula>"n/a"</formula>
    </cfRule>
    <cfRule type="cellIs" dxfId="1374" priority="3334" operator="equal">
      <formula>""</formula>
    </cfRule>
  </conditionalFormatting>
  <conditionalFormatting sqref="A32">
    <cfRule type="cellIs" dxfId="1373" priority="3331" operator="equal">
      <formula>"n/a"</formula>
    </cfRule>
    <cfRule type="cellIs" dxfId="1372" priority="3332" operator="equal">
      <formula>""</formula>
    </cfRule>
  </conditionalFormatting>
  <conditionalFormatting sqref="A280">
    <cfRule type="cellIs" dxfId="1371" priority="3223" operator="equal">
      <formula>"n/a"</formula>
    </cfRule>
  </conditionalFormatting>
  <conditionalFormatting sqref="C61">
    <cfRule type="cellIs" dxfId="1370" priority="2812" operator="equal">
      <formula>"n/a"</formula>
    </cfRule>
  </conditionalFormatting>
  <conditionalFormatting sqref="C281">
    <cfRule type="cellIs" dxfId="1369" priority="3220" operator="equal">
      <formula>"n/a"</formula>
    </cfRule>
  </conditionalFormatting>
  <conditionalFormatting sqref="A281">
    <cfRule type="cellIs" dxfId="1368" priority="3222" operator="equal">
      <formula>"n/a"</formula>
    </cfRule>
  </conditionalFormatting>
  <conditionalFormatting sqref="C279">
    <cfRule type="cellIs" dxfId="1367" priority="3218" operator="equal">
      <formula>"n/a"</formula>
    </cfRule>
  </conditionalFormatting>
  <conditionalFormatting sqref="A285">
    <cfRule type="cellIs" dxfId="1366" priority="3216" operator="equal">
      <formula>"n/a"</formula>
    </cfRule>
  </conditionalFormatting>
  <conditionalFormatting sqref="D142">
    <cfRule type="cellIs" dxfId="1365" priority="3012" operator="equal">
      <formula>"n/a"</formula>
    </cfRule>
  </conditionalFormatting>
  <conditionalFormatting sqref="C61">
    <cfRule type="cellIs" dxfId="1364" priority="2813" operator="equal">
      <formula>""</formula>
    </cfRule>
  </conditionalFormatting>
  <conditionalFormatting sqref="A287">
    <cfRule type="cellIs" dxfId="1363" priority="2933" operator="equal">
      <formula>"n/a"</formula>
    </cfRule>
  </conditionalFormatting>
  <conditionalFormatting sqref="A282">
    <cfRule type="cellIs" dxfId="1362" priority="3023" operator="equal">
      <formula>"n/a"</formula>
    </cfRule>
  </conditionalFormatting>
  <conditionalFormatting sqref="A140">
    <cfRule type="cellIs" dxfId="1361" priority="3008" operator="equal">
      <formula>"n/a"</formula>
    </cfRule>
  </conditionalFormatting>
  <conditionalFormatting sqref="A75:A77">
    <cfRule type="cellIs" dxfId="1360" priority="2770" operator="equal">
      <formula>"n/a"</formula>
    </cfRule>
  </conditionalFormatting>
  <conditionalFormatting sqref="A287 D248 B249 D13:D14">
    <cfRule type="cellIs" dxfId="1359" priority="2932" operator="equal">
      <formula>""</formula>
    </cfRule>
  </conditionalFormatting>
  <conditionalFormatting sqref="A73">
    <cfRule type="cellIs" dxfId="1358" priority="2754" operator="equal">
      <formula>"n/a"</formula>
    </cfRule>
  </conditionalFormatting>
  <conditionalFormatting sqref="C67">
    <cfRule type="cellIs" dxfId="1357" priority="2785" operator="equal">
      <formula>""</formula>
    </cfRule>
  </conditionalFormatting>
  <conditionalFormatting sqref="C67">
    <cfRule type="cellIs" dxfId="1356" priority="2784" operator="equal">
      <formula>"n/a"</formula>
    </cfRule>
  </conditionalFormatting>
  <conditionalFormatting sqref="A69:B71 A67 C67">
    <cfRule type="cellIs" dxfId="1355" priority="2780" operator="equal">
      <formula>""</formula>
    </cfRule>
  </conditionalFormatting>
  <conditionalFormatting sqref="A63:A65">
    <cfRule type="cellIs" dxfId="1354" priority="2829" operator="equal">
      <formula>""</formula>
    </cfRule>
  </conditionalFormatting>
  <conditionalFormatting sqref="B65">
    <cfRule type="cellIs" dxfId="1353" priority="2827" operator="equal">
      <formula>"n/a"</formula>
    </cfRule>
    <cfRule type="cellIs" dxfId="1352" priority="2828" operator="equal">
      <formula>""</formula>
    </cfRule>
  </conditionalFormatting>
  <conditionalFormatting sqref="A63:A65">
    <cfRule type="cellIs" dxfId="1351" priority="2826" operator="equal">
      <formula>"n/a"</formula>
    </cfRule>
  </conditionalFormatting>
  <conditionalFormatting sqref="A65">
    <cfRule type="cellIs" dxfId="1350" priority="2825" operator="equal">
      <formula>"Need to specify income type"</formula>
    </cfRule>
  </conditionalFormatting>
  <conditionalFormatting sqref="B65">
    <cfRule type="cellIs" dxfId="1349" priority="2821" operator="equal">
      <formula>"n/a"</formula>
    </cfRule>
    <cfRule type="cellIs" dxfId="1348" priority="2822" operator="equal">
      <formula>""</formula>
    </cfRule>
  </conditionalFormatting>
  <conditionalFormatting sqref="B135">
    <cfRule type="cellIs" dxfId="1347" priority="2431" operator="equal">
      <formula>"n/a"</formula>
    </cfRule>
    <cfRule type="cellIs" dxfId="1346" priority="2432" operator="equal">
      <formula>""</formula>
    </cfRule>
  </conditionalFormatting>
  <conditionalFormatting sqref="A61">
    <cfRule type="cellIs" dxfId="1345" priority="2810" operator="equal">
      <formula>"n/a"</formula>
    </cfRule>
  </conditionalFormatting>
  <conditionalFormatting sqref="A61">
    <cfRule type="cellIs" dxfId="1344" priority="2811" operator="equal">
      <formula>""</formula>
    </cfRule>
  </conditionalFormatting>
  <conditionalFormatting sqref="A65:B65 A61 C61 A63:A64">
    <cfRule type="cellIs" dxfId="1343" priority="2808" operator="equal">
      <formula>""</formula>
    </cfRule>
  </conditionalFormatting>
  <conditionalFormatting sqref="A69:A71">
    <cfRule type="cellIs" dxfId="1342" priority="2801" operator="equal">
      <formula>""</formula>
    </cfRule>
  </conditionalFormatting>
  <conditionalFormatting sqref="B71">
    <cfRule type="cellIs" dxfId="1341" priority="2799" operator="equal">
      <formula>"n/a"</formula>
    </cfRule>
    <cfRule type="cellIs" dxfId="1340" priority="2800" operator="equal">
      <formula>""</formula>
    </cfRule>
  </conditionalFormatting>
  <conditionalFormatting sqref="A69:A71">
    <cfRule type="cellIs" dxfId="1339" priority="2798" operator="equal">
      <formula>"n/a"</formula>
    </cfRule>
  </conditionalFormatting>
  <conditionalFormatting sqref="A71">
    <cfRule type="cellIs" dxfId="1338" priority="2797" operator="equal">
      <formula>"Need to specify income type"</formula>
    </cfRule>
  </conditionalFormatting>
  <conditionalFormatting sqref="B69">
    <cfRule type="cellIs" dxfId="1337" priority="2795" operator="equal">
      <formula>"n/a"</formula>
    </cfRule>
    <cfRule type="cellIs" dxfId="1336" priority="2796" operator="equal">
      <formula>""</formula>
    </cfRule>
  </conditionalFormatting>
  <conditionalFormatting sqref="B70:B71">
    <cfRule type="cellIs" dxfId="1335" priority="2793" operator="equal">
      <formula>"n/a"</formula>
    </cfRule>
    <cfRule type="cellIs" dxfId="1334" priority="2794" operator="equal">
      <formula>""</formula>
    </cfRule>
  </conditionalFormatting>
  <conditionalFormatting sqref="C97">
    <cfRule type="cellIs" dxfId="1333" priority="2617" operator="equal">
      <formula>""</formula>
    </cfRule>
  </conditionalFormatting>
  <conditionalFormatting sqref="C97">
    <cfRule type="cellIs" dxfId="1332" priority="2616" operator="equal">
      <formula>"n/a"</formula>
    </cfRule>
  </conditionalFormatting>
  <conditionalFormatting sqref="A67">
    <cfRule type="cellIs" dxfId="1331" priority="2782" operator="equal">
      <formula>"n/a"</formula>
    </cfRule>
  </conditionalFormatting>
  <conditionalFormatting sqref="A67">
    <cfRule type="cellIs" dxfId="1330" priority="2783" operator="equal">
      <formula>""</formula>
    </cfRule>
  </conditionalFormatting>
  <conditionalFormatting sqref="A99:B101 A97 C97">
    <cfRule type="cellIs" dxfId="1329" priority="2612" operator="equal">
      <formula>""</formula>
    </cfRule>
  </conditionalFormatting>
  <conditionalFormatting sqref="A75:A77">
    <cfRule type="cellIs" dxfId="1328" priority="2773" operator="equal">
      <formula>""</formula>
    </cfRule>
  </conditionalFormatting>
  <conditionalFormatting sqref="B77">
    <cfRule type="cellIs" dxfId="1327" priority="2771" operator="equal">
      <formula>"n/a"</formula>
    </cfRule>
    <cfRule type="cellIs" dxfId="1326" priority="2772" operator="equal">
      <formula>""</formula>
    </cfRule>
  </conditionalFormatting>
  <conditionalFormatting sqref="A105:A107">
    <cfRule type="cellIs" dxfId="1325" priority="2602" operator="equal">
      <formula>"n/a"</formula>
    </cfRule>
  </conditionalFormatting>
  <conditionalFormatting sqref="A77">
    <cfRule type="cellIs" dxfId="1324" priority="2769" operator="equal">
      <formula>"Need to specify income type"</formula>
    </cfRule>
  </conditionalFormatting>
  <conditionalFormatting sqref="B75">
    <cfRule type="cellIs" dxfId="1323" priority="2767" operator="equal">
      <formula>"n/a"</formula>
    </cfRule>
    <cfRule type="cellIs" dxfId="1322" priority="2768" operator="equal">
      <formula>""</formula>
    </cfRule>
  </conditionalFormatting>
  <conditionalFormatting sqref="B76:B77">
    <cfRule type="cellIs" dxfId="1321" priority="2765" operator="equal">
      <formula>"n/a"</formula>
    </cfRule>
    <cfRule type="cellIs" dxfId="1320" priority="2766" operator="equal">
      <formula>""</formula>
    </cfRule>
  </conditionalFormatting>
  <conditionalFormatting sqref="C73">
    <cfRule type="cellIs" dxfId="1319" priority="2757" operator="equal">
      <formula>""</formula>
    </cfRule>
  </conditionalFormatting>
  <conditionalFormatting sqref="C73">
    <cfRule type="cellIs" dxfId="1318" priority="2756" operator="equal">
      <formula>"n/a"</formula>
    </cfRule>
  </conditionalFormatting>
  <conditionalFormatting sqref="A73">
    <cfRule type="cellIs" dxfId="1317" priority="2755" operator="equal">
      <formula>""</formula>
    </cfRule>
  </conditionalFormatting>
  <conditionalFormatting sqref="A75:B77 A73 C73">
    <cfRule type="cellIs" dxfId="1316" priority="2752" operator="equal">
      <formula>""</formula>
    </cfRule>
  </conditionalFormatting>
  <conditionalFormatting sqref="C91">
    <cfRule type="cellIs" dxfId="1315" priority="2645" operator="equal">
      <formula>""</formula>
    </cfRule>
  </conditionalFormatting>
  <conditionalFormatting sqref="A91">
    <cfRule type="cellIs" dxfId="1314" priority="2642" operator="equal">
      <formula>"n/a"</formula>
    </cfRule>
  </conditionalFormatting>
  <conditionalFormatting sqref="B107">
    <cfRule type="cellIs" dxfId="1313" priority="2603" operator="equal">
      <formula>"n/a"</formula>
    </cfRule>
    <cfRule type="cellIs" dxfId="1312" priority="2604" operator="equal">
      <formula>""</formula>
    </cfRule>
  </conditionalFormatting>
  <conditionalFormatting sqref="C121">
    <cfRule type="cellIs" dxfId="1311" priority="2477" operator="equal">
      <formula>""</formula>
    </cfRule>
  </conditionalFormatting>
  <conditionalFormatting sqref="C91">
    <cfRule type="cellIs" dxfId="1310" priority="2644" operator="equal">
      <formula>"n/a"</formula>
    </cfRule>
  </conditionalFormatting>
  <conditionalFormatting sqref="A95:B95 A91 C91 A93:A94">
    <cfRule type="cellIs" dxfId="1309" priority="2640" operator="equal">
      <formula>""</formula>
    </cfRule>
  </conditionalFormatting>
  <conditionalFormatting sqref="A87:A89">
    <cfRule type="cellIs" dxfId="1308" priority="2689" operator="equal">
      <formula>""</formula>
    </cfRule>
  </conditionalFormatting>
  <conditionalFormatting sqref="A87:A89">
    <cfRule type="cellIs" dxfId="1307" priority="2686" operator="equal">
      <formula>"n/a"</formula>
    </cfRule>
  </conditionalFormatting>
  <conditionalFormatting sqref="A89">
    <cfRule type="cellIs" dxfId="1306" priority="2685" operator="equal">
      <formula>"Need to specify income type"</formula>
    </cfRule>
  </conditionalFormatting>
  <conditionalFormatting sqref="C85">
    <cfRule type="cellIs" dxfId="1305" priority="2673" operator="equal">
      <formula>""</formula>
    </cfRule>
  </conditionalFormatting>
  <conditionalFormatting sqref="C85">
    <cfRule type="cellIs" dxfId="1304" priority="2672" operator="equal">
      <formula>"n/a"</formula>
    </cfRule>
  </conditionalFormatting>
  <conditionalFormatting sqref="A85">
    <cfRule type="cellIs" dxfId="1303" priority="2670" operator="equal">
      <formula>"n/a"</formula>
    </cfRule>
  </conditionalFormatting>
  <conditionalFormatting sqref="A85">
    <cfRule type="cellIs" dxfId="1302" priority="2671" operator="equal">
      <formula>""</formula>
    </cfRule>
  </conditionalFormatting>
  <conditionalFormatting sqref="A85 C85 A87:A89">
    <cfRule type="cellIs" dxfId="1301" priority="2668" operator="equal">
      <formula>""</formula>
    </cfRule>
  </conditionalFormatting>
  <conditionalFormatting sqref="A93:A95">
    <cfRule type="cellIs" dxfId="1300" priority="2661" operator="equal">
      <formula>""</formula>
    </cfRule>
  </conditionalFormatting>
  <conditionalFormatting sqref="B95">
    <cfRule type="cellIs" dxfId="1299" priority="2659" operator="equal">
      <formula>"n/a"</formula>
    </cfRule>
    <cfRule type="cellIs" dxfId="1298" priority="2660" operator="equal">
      <formula>""</formula>
    </cfRule>
  </conditionalFormatting>
  <conditionalFormatting sqref="A93:A95">
    <cfRule type="cellIs" dxfId="1297" priority="2658" operator="equal">
      <formula>"n/a"</formula>
    </cfRule>
  </conditionalFormatting>
  <conditionalFormatting sqref="A95">
    <cfRule type="cellIs" dxfId="1296" priority="2657" operator="equal">
      <formula>"Need to specify income type"</formula>
    </cfRule>
  </conditionalFormatting>
  <conditionalFormatting sqref="B95">
    <cfRule type="cellIs" dxfId="1295" priority="2653" operator="equal">
      <formula>"n/a"</formula>
    </cfRule>
    <cfRule type="cellIs" dxfId="1294" priority="2654" operator="equal">
      <formula>""</formula>
    </cfRule>
  </conditionalFormatting>
  <conditionalFormatting sqref="C151">
    <cfRule type="cellIs" dxfId="1293" priority="2309" operator="equal">
      <formula>""</formula>
    </cfRule>
  </conditionalFormatting>
  <conditionalFormatting sqref="C121">
    <cfRule type="cellIs" dxfId="1292" priority="2476" operator="equal">
      <formula>"n/a"</formula>
    </cfRule>
  </conditionalFormatting>
  <conditionalFormatting sqref="A121">
    <cfRule type="cellIs" dxfId="1291" priority="2474" operator="equal">
      <formula>"n/a"</formula>
    </cfRule>
  </conditionalFormatting>
  <conditionalFormatting sqref="A91">
    <cfRule type="cellIs" dxfId="1290" priority="2643" operator="equal">
      <formula>""</formula>
    </cfRule>
  </conditionalFormatting>
  <conditionalFormatting sqref="A125:B125 A121 C121 A123:A124">
    <cfRule type="cellIs" dxfId="1289" priority="2472" operator="equal">
      <formula>""</formula>
    </cfRule>
  </conditionalFormatting>
  <conditionalFormatting sqref="A99:A101">
    <cfRule type="cellIs" dxfId="1288" priority="2633" operator="equal">
      <formula>""</formula>
    </cfRule>
  </conditionalFormatting>
  <conditionalFormatting sqref="B101">
    <cfRule type="cellIs" dxfId="1287" priority="2631" operator="equal">
      <formula>"n/a"</formula>
    </cfRule>
    <cfRule type="cellIs" dxfId="1286" priority="2632" operator="equal">
      <formula>""</formula>
    </cfRule>
  </conditionalFormatting>
  <conditionalFormatting sqref="A99:A101">
    <cfRule type="cellIs" dxfId="1285" priority="2630" operator="equal">
      <formula>"n/a"</formula>
    </cfRule>
  </conditionalFormatting>
  <conditionalFormatting sqref="A101">
    <cfRule type="cellIs" dxfId="1284" priority="2629" operator="equal">
      <formula>"Need to specify income type"</formula>
    </cfRule>
  </conditionalFormatting>
  <conditionalFormatting sqref="B99">
    <cfRule type="cellIs" dxfId="1283" priority="2627" operator="equal">
      <formula>"n/a"</formula>
    </cfRule>
    <cfRule type="cellIs" dxfId="1282" priority="2628" operator="equal">
      <formula>""</formula>
    </cfRule>
  </conditionalFormatting>
  <conditionalFormatting sqref="B100:B101">
    <cfRule type="cellIs" dxfId="1281" priority="2625" operator="equal">
      <formula>"n/a"</formula>
    </cfRule>
    <cfRule type="cellIs" dxfId="1280" priority="2626" operator="equal">
      <formula>""</formula>
    </cfRule>
  </conditionalFormatting>
  <conditionalFormatting sqref="C127">
    <cfRule type="cellIs" dxfId="1279" priority="2449" operator="equal">
      <formula>""</formula>
    </cfRule>
  </conditionalFormatting>
  <conditionalFormatting sqref="C127">
    <cfRule type="cellIs" dxfId="1278" priority="2448" operator="equal">
      <formula>"n/a"</formula>
    </cfRule>
  </conditionalFormatting>
  <conditionalFormatting sqref="A97">
    <cfRule type="cellIs" dxfId="1277" priority="2614" operator="equal">
      <formula>"n/a"</formula>
    </cfRule>
  </conditionalFormatting>
  <conditionalFormatting sqref="A97">
    <cfRule type="cellIs" dxfId="1276" priority="2615" operator="equal">
      <formula>""</formula>
    </cfRule>
  </conditionalFormatting>
  <conditionalFormatting sqref="A129:B131 A127 C127">
    <cfRule type="cellIs" dxfId="1275" priority="2444" operator="equal">
      <formula>""</formula>
    </cfRule>
  </conditionalFormatting>
  <conditionalFormatting sqref="A105:A107">
    <cfRule type="cellIs" dxfId="1274" priority="2605" operator="equal">
      <formula>""</formula>
    </cfRule>
  </conditionalFormatting>
  <conditionalFormatting sqref="B137">
    <cfRule type="cellIs" dxfId="1273" priority="2435" operator="equal">
      <formula>"n/a"</formula>
    </cfRule>
    <cfRule type="cellIs" dxfId="1272" priority="2436" operator="equal">
      <formula>""</formula>
    </cfRule>
  </conditionalFormatting>
  <conditionalFormatting sqref="A135:A137">
    <cfRule type="cellIs" dxfId="1271" priority="2434" operator="equal">
      <formula>"n/a"</formula>
    </cfRule>
  </conditionalFormatting>
  <conditionalFormatting sqref="A107">
    <cfRule type="cellIs" dxfId="1270" priority="2601" operator="equal">
      <formula>"Need to specify income type"</formula>
    </cfRule>
  </conditionalFormatting>
  <conditionalFormatting sqref="B105">
    <cfRule type="cellIs" dxfId="1269" priority="2599" operator="equal">
      <formula>"n/a"</formula>
    </cfRule>
    <cfRule type="cellIs" dxfId="1268" priority="2600" operator="equal">
      <formula>""</formula>
    </cfRule>
  </conditionalFormatting>
  <conditionalFormatting sqref="B106:B107">
    <cfRule type="cellIs" dxfId="1267" priority="2597" operator="equal">
      <formula>"n/a"</formula>
    </cfRule>
    <cfRule type="cellIs" dxfId="1266" priority="2598" operator="equal">
      <formula>""</formula>
    </cfRule>
  </conditionalFormatting>
  <conditionalFormatting sqref="C103">
    <cfRule type="cellIs" dxfId="1265" priority="2589" operator="equal">
      <formula>""</formula>
    </cfRule>
  </conditionalFormatting>
  <conditionalFormatting sqref="C103">
    <cfRule type="cellIs" dxfId="1264" priority="2588" operator="equal">
      <formula>"n/a"</formula>
    </cfRule>
  </conditionalFormatting>
  <conditionalFormatting sqref="A103">
    <cfRule type="cellIs" dxfId="1263" priority="2586" operator="equal">
      <formula>"n/a"</formula>
    </cfRule>
  </conditionalFormatting>
  <conditionalFormatting sqref="A103">
    <cfRule type="cellIs" dxfId="1262" priority="2587" operator="equal">
      <formula>""</formula>
    </cfRule>
  </conditionalFormatting>
  <conditionalFormatting sqref="A105:B107 A103 C103">
    <cfRule type="cellIs" dxfId="1261" priority="2584" operator="equal">
      <formula>""</formula>
    </cfRule>
  </conditionalFormatting>
  <conditionalFormatting sqref="B131">
    <cfRule type="cellIs" dxfId="1260" priority="2463" operator="equal">
      <formula>"n/a"</formula>
    </cfRule>
    <cfRule type="cellIs" dxfId="1259" priority="2464" operator="equal">
      <formula>""</formula>
    </cfRule>
  </conditionalFormatting>
  <conditionalFormatting sqref="A129:A131">
    <cfRule type="cellIs" dxfId="1258" priority="2465" operator="equal">
      <formula>""</formula>
    </cfRule>
  </conditionalFormatting>
  <conditionalFormatting sqref="A129:A131">
    <cfRule type="cellIs" dxfId="1257" priority="2462" operator="equal">
      <formula>"n/a"</formula>
    </cfRule>
  </conditionalFormatting>
  <conditionalFormatting sqref="A131">
    <cfRule type="cellIs" dxfId="1256" priority="2461" operator="equal">
      <formula>"Need to specify income type"</formula>
    </cfRule>
  </conditionalFormatting>
  <conditionalFormatting sqref="B129">
    <cfRule type="cellIs" dxfId="1255" priority="2459" operator="equal">
      <formula>"n/a"</formula>
    </cfRule>
    <cfRule type="cellIs" dxfId="1254" priority="2460" operator="equal">
      <formula>""</formula>
    </cfRule>
  </conditionalFormatting>
  <conditionalFormatting sqref="C115">
    <cfRule type="cellIs" dxfId="1253" priority="2505" operator="equal">
      <formula>""</formula>
    </cfRule>
  </conditionalFormatting>
  <conditionalFormatting sqref="A115">
    <cfRule type="cellIs" dxfId="1252" priority="2502" operator="equal">
      <formula>"n/a"</formula>
    </cfRule>
  </conditionalFormatting>
  <conditionalFormatting sqref="B119">
    <cfRule type="cellIs" dxfId="1251" priority="2519" operator="equal">
      <formula>"n/a"</formula>
    </cfRule>
    <cfRule type="cellIs" dxfId="1250" priority="2520" operator="equal">
      <formula>""</formula>
    </cfRule>
  </conditionalFormatting>
  <conditionalFormatting sqref="C151">
    <cfRule type="cellIs" dxfId="1249" priority="2308" operator="equal">
      <formula>"n/a"</formula>
    </cfRule>
  </conditionalFormatting>
  <conditionalFormatting sqref="A155:B155 A151 C151 A153:A154">
    <cfRule type="cellIs" dxfId="1248" priority="2304" operator="equal">
      <formula>""</formula>
    </cfRule>
  </conditionalFormatting>
  <conditionalFormatting sqref="B109">
    <cfRule type="cellIs" dxfId="1247" priority="2169" operator="equal">
      <formula>"n/a"</formula>
    </cfRule>
  </conditionalFormatting>
  <conditionalFormatting sqref="B149">
    <cfRule type="cellIs" dxfId="1246" priority="2351" operator="equal">
      <formula>"n/a"</formula>
    </cfRule>
    <cfRule type="cellIs" dxfId="1245" priority="2352" operator="equal">
      <formula>""</formula>
    </cfRule>
  </conditionalFormatting>
  <conditionalFormatting sqref="A117:A119">
    <cfRule type="cellIs" dxfId="1244" priority="2521" operator="equal">
      <formula>""</formula>
    </cfRule>
  </conditionalFormatting>
  <conditionalFormatting sqref="A117:A119">
    <cfRule type="cellIs" dxfId="1243" priority="2518" operator="equal">
      <formula>"n/a"</formula>
    </cfRule>
  </conditionalFormatting>
  <conditionalFormatting sqref="A119">
    <cfRule type="cellIs" dxfId="1242" priority="2517" operator="equal">
      <formula>"Need to specify income type"</formula>
    </cfRule>
  </conditionalFormatting>
  <conditionalFormatting sqref="B119">
    <cfRule type="cellIs" dxfId="1241" priority="2513" operator="equal">
      <formula>"n/a"</formula>
    </cfRule>
    <cfRule type="cellIs" dxfId="1240" priority="2514" operator="equal">
      <formula>""</formula>
    </cfRule>
  </conditionalFormatting>
  <conditionalFormatting sqref="C145">
    <cfRule type="cellIs" dxfId="1239" priority="2337" operator="equal">
      <formula>""</formula>
    </cfRule>
  </conditionalFormatting>
  <conditionalFormatting sqref="C115">
    <cfRule type="cellIs" dxfId="1238" priority="2504" operator="equal">
      <formula>"n/a"</formula>
    </cfRule>
  </conditionalFormatting>
  <conditionalFormatting sqref="A145">
    <cfRule type="cellIs" dxfId="1237" priority="2334" operator="equal">
      <formula>"n/a"</formula>
    </cfRule>
  </conditionalFormatting>
  <conditionalFormatting sqref="A115">
    <cfRule type="cellIs" dxfId="1236" priority="2503" operator="equal">
      <formula>""</formula>
    </cfRule>
  </conditionalFormatting>
  <conditionalFormatting sqref="A119:B119 A115 C115 A117:A118">
    <cfRule type="cellIs" dxfId="1235" priority="2500" operator="equal">
      <formula>""</formula>
    </cfRule>
  </conditionalFormatting>
  <conditionalFormatting sqref="B125">
    <cfRule type="cellIs" dxfId="1234" priority="2491" operator="equal">
      <formula>"n/a"</formula>
    </cfRule>
    <cfRule type="cellIs" dxfId="1233" priority="2492" operator="equal">
      <formula>""</formula>
    </cfRule>
  </conditionalFormatting>
  <conditionalFormatting sqref="A123:A125">
    <cfRule type="cellIs" dxfId="1232" priority="2493" operator="equal">
      <formula>""</formula>
    </cfRule>
  </conditionalFormatting>
  <conditionalFormatting sqref="A123:A125">
    <cfRule type="cellIs" dxfId="1231" priority="2490" operator="equal">
      <formula>"n/a"</formula>
    </cfRule>
  </conditionalFormatting>
  <conditionalFormatting sqref="A125">
    <cfRule type="cellIs" dxfId="1230" priority="2489" operator="equal">
      <formula>"Need to specify income type"</formula>
    </cfRule>
  </conditionalFormatting>
  <conditionalFormatting sqref="B125">
    <cfRule type="cellIs" dxfId="1229" priority="2485" operator="equal">
      <formula>"n/a"</formula>
    </cfRule>
    <cfRule type="cellIs" dxfId="1228" priority="2486" operator="equal">
      <formula>""</formula>
    </cfRule>
  </conditionalFormatting>
  <conditionalFormatting sqref="A151">
    <cfRule type="cellIs" dxfId="1227" priority="2306" operator="equal">
      <formula>"n/a"</formula>
    </cfRule>
  </conditionalFormatting>
  <conditionalFormatting sqref="A121">
    <cfRule type="cellIs" dxfId="1226" priority="2475" operator="equal">
      <formula>""</formula>
    </cfRule>
  </conditionalFormatting>
  <conditionalFormatting sqref="B161">
    <cfRule type="cellIs" dxfId="1225" priority="2295" operator="equal">
      <formula>"n/a"</formula>
    </cfRule>
    <cfRule type="cellIs" dxfId="1224" priority="2296" operator="equal">
      <formula>""</formula>
    </cfRule>
  </conditionalFormatting>
  <conditionalFormatting sqref="A159:A161">
    <cfRule type="cellIs" dxfId="1223" priority="2297" operator="equal">
      <formula>""</formula>
    </cfRule>
  </conditionalFormatting>
  <conditionalFormatting sqref="A159:A161">
    <cfRule type="cellIs" dxfId="1222" priority="2294" operator="equal">
      <formula>"n/a"</formula>
    </cfRule>
  </conditionalFormatting>
  <conditionalFormatting sqref="A161">
    <cfRule type="cellIs" dxfId="1221" priority="2293" operator="equal">
      <formula>"Need to specify income type"</formula>
    </cfRule>
  </conditionalFormatting>
  <conditionalFormatting sqref="B159">
    <cfRule type="cellIs" dxfId="1220" priority="2291" operator="equal">
      <formula>"n/a"</formula>
    </cfRule>
    <cfRule type="cellIs" dxfId="1219" priority="2292" operator="equal">
      <formula>""</formula>
    </cfRule>
  </conditionalFormatting>
  <conditionalFormatting sqref="B130:B131">
    <cfRule type="cellIs" dxfId="1218" priority="2457" operator="equal">
      <formula>"n/a"</formula>
    </cfRule>
    <cfRule type="cellIs" dxfId="1217" priority="2458" operator="equal">
      <formula>""</formula>
    </cfRule>
  </conditionalFormatting>
  <conditionalFormatting sqref="C157">
    <cfRule type="cellIs" dxfId="1216" priority="2281" operator="equal">
      <formula>""</formula>
    </cfRule>
  </conditionalFormatting>
  <conditionalFormatting sqref="C157">
    <cfRule type="cellIs" dxfId="1215" priority="2280" operator="equal">
      <formula>"n/a"</formula>
    </cfRule>
  </conditionalFormatting>
  <conditionalFormatting sqref="A127">
    <cfRule type="cellIs" dxfId="1214" priority="2446" operator="equal">
      <formula>"n/a"</formula>
    </cfRule>
  </conditionalFormatting>
  <conditionalFormatting sqref="A127">
    <cfRule type="cellIs" dxfId="1213" priority="2447" operator="equal">
      <formula>""</formula>
    </cfRule>
  </conditionalFormatting>
  <conditionalFormatting sqref="A159:B161 A157 C157">
    <cfRule type="cellIs" dxfId="1212" priority="2276" operator="equal">
      <formula>""</formula>
    </cfRule>
  </conditionalFormatting>
  <conditionalFormatting sqref="A133">
    <cfRule type="cellIs" dxfId="1211" priority="2419" operator="equal">
      <formula>""</formula>
    </cfRule>
  </conditionalFormatting>
  <conditionalFormatting sqref="A133">
    <cfRule type="cellIs" dxfId="1210" priority="2418" operator="equal">
      <formula>"n/a"</formula>
    </cfRule>
  </conditionalFormatting>
  <conditionalFormatting sqref="A135:B137 A133 C133">
    <cfRule type="cellIs" dxfId="1209" priority="2416" operator="equal">
      <formula>""</formula>
    </cfRule>
  </conditionalFormatting>
  <conditionalFormatting sqref="B167">
    <cfRule type="cellIs" dxfId="1208" priority="2267" operator="equal">
      <formula>"n/a"</formula>
    </cfRule>
    <cfRule type="cellIs" dxfId="1207" priority="2268" operator="equal">
      <formula>""</formula>
    </cfRule>
  </conditionalFormatting>
  <conditionalFormatting sqref="A135:A137">
    <cfRule type="cellIs" dxfId="1206" priority="2437" operator="equal">
      <formula>""</formula>
    </cfRule>
  </conditionalFormatting>
  <conditionalFormatting sqref="A137">
    <cfRule type="cellIs" dxfId="1205" priority="2433" operator="equal">
      <formula>"Need to specify income type"</formula>
    </cfRule>
  </conditionalFormatting>
  <conditionalFormatting sqref="B136:B137">
    <cfRule type="cellIs" dxfId="1204" priority="2429" operator="equal">
      <formula>"n/a"</formula>
    </cfRule>
    <cfRule type="cellIs" dxfId="1203" priority="2430" operator="equal">
      <formula>""</formula>
    </cfRule>
  </conditionalFormatting>
  <conditionalFormatting sqref="C133">
    <cfRule type="cellIs" dxfId="1202" priority="2421" operator="equal">
      <formula>""</formula>
    </cfRule>
  </conditionalFormatting>
  <conditionalFormatting sqref="C133">
    <cfRule type="cellIs" dxfId="1201" priority="2420" operator="equal">
      <formula>"n/a"</formula>
    </cfRule>
  </conditionalFormatting>
  <conditionalFormatting sqref="A147:A149">
    <cfRule type="cellIs" dxfId="1200" priority="2353" operator="equal">
      <formula>""</formula>
    </cfRule>
  </conditionalFormatting>
  <conditionalFormatting sqref="A147:A149">
    <cfRule type="cellIs" dxfId="1199" priority="2350" operator="equal">
      <formula>"n/a"</formula>
    </cfRule>
  </conditionalFormatting>
  <conditionalFormatting sqref="A149">
    <cfRule type="cellIs" dxfId="1198" priority="2349" operator="equal">
      <formula>"Need to specify income type"</formula>
    </cfRule>
  </conditionalFormatting>
  <conditionalFormatting sqref="B149">
    <cfRule type="cellIs" dxfId="1197" priority="2345" operator="equal">
      <formula>"n/a"</formula>
    </cfRule>
    <cfRule type="cellIs" dxfId="1196" priority="2346" operator="equal">
      <formula>""</formula>
    </cfRule>
  </conditionalFormatting>
  <conditionalFormatting sqref="C145">
    <cfRule type="cellIs" dxfId="1195" priority="2336" operator="equal">
      <formula>"n/a"</formula>
    </cfRule>
  </conditionalFormatting>
  <conditionalFormatting sqref="A145">
    <cfRule type="cellIs" dxfId="1194" priority="2335" operator="equal">
      <formula>""</formula>
    </cfRule>
  </conditionalFormatting>
  <conditionalFormatting sqref="A149:B149 A145 C145 A147:A148">
    <cfRule type="cellIs" dxfId="1193" priority="2332" operator="equal">
      <formula>""</formula>
    </cfRule>
  </conditionalFormatting>
  <conditionalFormatting sqref="B155">
    <cfRule type="cellIs" dxfId="1192" priority="2323" operator="equal">
      <formula>"n/a"</formula>
    </cfRule>
    <cfRule type="cellIs" dxfId="1191" priority="2324" operator="equal">
      <formula>""</formula>
    </cfRule>
  </conditionalFormatting>
  <conditionalFormatting sqref="A153:A155">
    <cfRule type="cellIs" dxfId="1190" priority="2325" operator="equal">
      <formula>""</formula>
    </cfRule>
  </conditionalFormatting>
  <conditionalFormatting sqref="A153:A155">
    <cfRule type="cellIs" dxfId="1189" priority="2322" operator="equal">
      <formula>"n/a"</formula>
    </cfRule>
  </conditionalFormatting>
  <conditionalFormatting sqref="A155">
    <cfRule type="cellIs" dxfId="1188" priority="2321" operator="equal">
      <formula>"Need to specify income type"</formula>
    </cfRule>
  </conditionalFormatting>
  <conditionalFormatting sqref="B155">
    <cfRule type="cellIs" dxfId="1187" priority="2317" operator="equal">
      <formula>"n/a"</formula>
    </cfRule>
    <cfRule type="cellIs" dxfId="1186" priority="2318" operator="equal">
      <formula>""</formula>
    </cfRule>
  </conditionalFormatting>
  <conditionalFormatting sqref="A151">
    <cfRule type="cellIs" dxfId="1185" priority="2307" operator="equal">
      <formula>""</formula>
    </cfRule>
  </conditionalFormatting>
  <conditionalFormatting sqref="B160:B161">
    <cfRule type="cellIs" dxfId="1184" priority="2289" operator="equal">
      <formula>"n/a"</formula>
    </cfRule>
    <cfRule type="cellIs" dxfId="1183" priority="2290" operator="equal">
      <formula>""</formula>
    </cfRule>
  </conditionalFormatting>
  <conditionalFormatting sqref="A157">
    <cfRule type="cellIs" dxfId="1182" priority="2278" operator="equal">
      <formula>"n/a"</formula>
    </cfRule>
  </conditionalFormatting>
  <conditionalFormatting sqref="A157">
    <cfRule type="cellIs" dxfId="1181" priority="2279" operator="equal">
      <formula>""</formula>
    </cfRule>
  </conditionalFormatting>
  <conditionalFormatting sqref="A165:A167">
    <cfRule type="cellIs" dxfId="1180" priority="2266" operator="equal">
      <formula>"n/a"</formula>
    </cfRule>
  </conditionalFormatting>
  <conditionalFormatting sqref="A167">
    <cfRule type="cellIs" dxfId="1179" priority="2265" operator="equal">
      <formula>"Need to specify income type"</formula>
    </cfRule>
  </conditionalFormatting>
  <conditionalFormatting sqref="A165:A167">
    <cfRule type="cellIs" dxfId="1178" priority="2269" operator="equal">
      <formula>""</formula>
    </cfRule>
  </conditionalFormatting>
  <conditionalFormatting sqref="B165">
    <cfRule type="cellIs" dxfId="1177" priority="2263" operator="equal">
      <formula>"n/a"</formula>
    </cfRule>
    <cfRule type="cellIs" dxfId="1176" priority="2264" operator="equal">
      <formula>""</formula>
    </cfRule>
  </conditionalFormatting>
  <conditionalFormatting sqref="B166:B167">
    <cfRule type="cellIs" dxfId="1175" priority="2261" operator="equal">
      <formula>"n/a"</formula>
    </cfRule>
    <cfRule type="cellIs" dxfId="1174" priority="2262" operator="equal">
      <formula>""</formula>
    </cfRule>
  </conditionalFormatting>
  <conditionalFormatting sqref="C163">
    <cfRule type="cellIs" dxfId="1173" priority="2253" operator="equal">
      <formula>""</formula>
    </cfRule>
  </conditionalFormatting>
  <conditionalFormatting sqref="C163">
    <cfRule type="cellIs" dxfId="1172" priority="2252" operator="equal">
      <formula>"n/a"</formula>
    </cfRule>
  </conditionalFormatting>
  <conditionalFormatting sqref="A163">
    <cfRule type="cellIs" dxfId="1171" priority="2250" operator="equal">
      <formula>"n/a"</formula>
    </cfRule>
  </conditionalFormatting>
  <conditionalFormatting sqref="A163">
    <cfRule type="cellIs" dxfId="1170" priority="2251" operator="equal">
      <formula>""</formula>
    </cfRule>
  </conditionalFormatting>
  <conditionalFormatting sqref="A165:B167 A163 C163">
    <cfRule type="cellIs" dxfId="1169" priority="2248" operator="equal">
      <formula>""</formula>
    </cfRule>
  </conditionalFormatting>
  <conditionalFormatting sqref="A14">
    <cfRule type="cellIs" dxfId="1168" priority="2241" operator="equal">
      <formula>"n/a"</formula>
    </cfRule>
  </conditionalFormatting>
  <conditionalFormatting sqref="C14">
    <cfRule type="cellIs" dxfId="1167" priority="2240" operator="equal">
      <formula>""</formula>
    </cfRule>
  </conditionalFormatting>
  <conditionalFormatting sqref="C14">
    <cfRule type="cellIs" dxfId="1166" priority="2239" operator="equal">
      <formula>"n/a"</formula>
    </cfRule>
  </conditionalFormatting>
  <conditionalFormatting sqref="C14">
    <cfRule type="cellIs" dxfId="1165" priority="2238" operator="equal">
      <formula>"n/a"</formula>
    </cfRule>
  </conditionalFormatting>
  <conditionalFormatting sqref="D12">
    <cfRule type="cellIs" dxfId="1164" priority="2230" operator="equal">
      <formula>""</formula>
    </cfRule>
  </conditionalFormatting>
  <conditionalFormatting sqref="D12">
    <cfRule type="cellIs" dxfId="1163" priority="2229" operator="equal">
      <formula>"n/a"</formula>
    </cfRule>
  </conditionalFormatting>
  <conditionalFormatting sqref="D12">
    <cfRule type="cellIs" dxfId="1162" priority="2228" operator="equal">
      <formula>""</formula>
    </cfRule>
  </conditionalFormatting>
  <conditionalFormatting sqref="B234:B238">
    <cfRule type="cellIs" dxfId="1161" priority="2227" operator="equal">
      <formula>""</formula>
    </cfRule>
  </conditionalFormatting>
  <conditionalFormatting sqref="A5">
    <cfRule type="cellIs" dxfId="1160" priority="2223" operator="equal">
      <formula>""</formula>
    </cfRule>
  </conditionalFormatting>
  <conditionalFormatting sqref="A47">
    <cfRule type="cellIs" dxfId="1159" priority="2222" operator="equal">
      <formula>""</formula>
    </cfRule>
  </conditionalFormatting>
  <conditionalFormatting sqref="A195">
    <cfRule type="cellIs" dxfId="1158" priority="2220" operator="equal">
      <formula>""</formula>
    </cfRule>
  </conditionalFormatting>
  <conditionalFormatting sqref="A169">
    <cfRule type="cellIs" dxfId="1157" priority="2221" operator="equal">
      <formula>""</formula>
    </cfRule>
  </conditionalFormatting>
  <conditionalFormatting sqref="A242">
    <cfRule type="cellIs" dxfId="1156" priority="2219" operator="equal">
      <formula>""</formula>
    </cfRule>
  </conditionalFormatting>
  <conditionalFormatting sqref="A232">
    <cfRule type="cellIs" dxfId="1155" priority="2218" operator="equal">
      <formula>""</formula>
    </cfRule>
  </conditionalFormatting>
  <conditionalFormatting sqref="A251">
    <cfRule type="cellIs" dxfId="1154" priority="2217" operator="equal">
      <formula>""</formula>
    </cfRule>
  </conditionalFormatting>
  <conditionalFormatting sqref="A278">
    <cfRule type="cellIs" dxfId="1153" priority="2216" operator="equal">
      <formula>""</formula>
    </cfRule>
  </conditionalFormatting>
  <conditionalFormatting sqref="C14">
    <cfRule type="cellIs" dxfId="1152" priority="2214" operator="equal">
      <formula>"n/a"</formula>
    </cfRule>
  </conditionalFormatting>
  <conditionalFormatting sqref="A14">
    <cfRule type="cellIs" dxfId="1151" priority="2213" operator="equal">
      <formula>"n/a"</formula>
    </cfRule>
  </conditionalFormatting>
  <conditionalFormatting sqref="A15">
    <cfRule type="cellIs" dxfId="1150" priority="2212" operator="equal">
      <formula>"n/a"</formula>
    </cfRule>
  </conditionalFormatting>
  <conditionalFormatting sqref="A15">
    <cfRule type="cellIs" dxfId="1149" priority="2211" operator="equal">
      <formula>"n/a"</formula>
    </cfRule>
  </conditionalFormatting>
  <conditionalFormatting sqref="A16">
    <cfRule type="cellIs" dxfId="1148" priority="2205" operator="equal">
      <formula>""</formula>
    </cfRule>
  </conditionalFormatting>
  <conditionalFormatting sqref="A16">
    <cfRule type="cellIs" dxfId="1147" priority="2204" operator="equal">
      <formula>"n/a"</formula>
    </cfRule>
  </conditionalFormatting>
  <conditionalFormatting sqref="A16">
    <cfRule type="cellIs" dxfId="1146" priority="2203" operator="equal">
      <formula>""</formula>
    </cfRule>
  </conditionalFormatting>
  <conditionalFormatting sqref="A16">
    <cfRule type="cellIs" dxfId="1145" priority="2202" operator="equal">
      <formula>"n/a"</formula>
    </cfRule>
  </conditionalFormatting>
  <conditionalFormatting sqref="A16">
    <cfRule type="cellIs" dxfId="1144" priority="2201" operator="equal">
      <formula>"n/a"</formula>
    </cfRule>
  </conditionalFormatting>
  <conditionalFormatting sqref="A17">
    <cfRule type="cellIs" dxfId="1143" priority="2200" operator="equal">
      <formula>""</formula>
    </cfRule>
  </conditionalFormatting>
  <conditionalFormatting sqref="A17">
    <cfRule type="cellIs" dxfId="1142" priority="2199" operator="equal">
      <formula>"n/a"</formula>
    </cfRule>
  </conditionalFormatting>
  <conditionalFormatting sqref="A17">
    <cfRule type="cellIs" dxfId="1141" priority="2198" operator="equal">
      <formula>""</formula>
    </cfRule>
  </conditionalFormatting>
  <conditionalFormatting sqref="A17">
    <cfRule type="cellIs" dxfId="1140" priority="2197" operator="equal">
      <formula>"n/a"</formula>
    </cfRule>
  </conditionalFormatting>
  <conditionalFormatting sqref="A17">
    <cfRule type="cellIs" dxfId="1139" priority="2196" operator="equal">
      <formula>"n/a"</formula>
    </cfRule>
  </conditionalFormatting>
  <conditionalFormatting sqref="A18">
    <cfRule type="cellIs" dxfId="1138" priority="2195" operator="equal">
      <formula>""</formula>
    </cfRule>
  </conditionalFormatting>
  <conditionalFormatting sqref="A18">
    <cfRule type="cellIs" dxfId="1137" priority="2194" operator="equal">
      <formula>"n/a"</formula>
    </cfRule>
  </conditionalFormatting>
  <conditionalFormatting sqref="A18">
    <cfRule type="cellIs" dxfId="1136" priority="2193" operator="equal">
      <formula>""</formula>
    </cfRule>
  </conditionalFormatting>
  <conditionalFormatting sqref="A18">
    <cfRule type="cellIs" dxfId="1135" priority="2192" operator="equal">
      <formula>"n/a"</formula>
    </cfRule>
  </conditionalFormatting>
  <conditionalFormatting sqref="A18">
    <cfRule type="cellIs" dxfId="1134" priority="2191" operator="equal">
      <formula>"n/a"</formula>
    </cfRule>
  </conditionalFormatting>
  <conditionalFormatting sqref="A19">
    <cfRule type="cellIs" dxfId="1133" priority="2190" operator="equal">
      <formula>""</formula>
    </cfRule>
  </conditionalFormatting>
  <conditionalFormatting sqref="A19">
    <cfRule type="cellIs" dxfId="1132" priority="2189" operator="equal">
      <formula>"n/a"</formula>
    </cfRule>
  </conditionalFormatting>
  <conditionalFormatting sqref="A19">
    <cfRule type="cellIs" dxfId="1131" priority="2188" operator="equal">
      <formula>""</formula>
    </cfRule>
  </conditionalFormatting>
  <conditionalFormatting sqref="A19">
    <cfRule type="cellIs" dxfId="1130" priority="2187" operator="equal">
      <formula>"n/a"</formula>
    </cfRule>
  </conditionalFormatting>
  <conditionalFormatting sqref="A19">
    <cfRule type="cellIs" dxfId="1129" priority="2186" operator="equal">
      <formula>"n/a"</formula>
    </cfRule>
  </conditionalFormatting>
  <conditionalFormatting sqref="A289">
    <cfRule type="cellIs" dxfId="1128" priority="2184" operator="equal">
      <formula>""</formula>
    </cfRule>
  </conditionalFormatting>
  <conditionalFormatting sqref="A79">
    <cfRule type="cellIs" dxfId="1127" priority="2178" operator="equal">
      <formula>"n/a"</formula>
    </cfRule>
  </conditionalFormatting>
  <conditionalFormatting sqref="A79">
    <cfRule type="cellIs" dxfId="1126" priority="2179" operator="equal">
      <formula>""</formula>
    </cfRule>
  </conditionalFormatting>
  <conditionalFormatting sqref="B79">
    <cfRule type="cellIs" dxfId="1125" priority="2177" operator="equal">
      <formula>"n/a"</formula>
    </cfRule>
  </conditionalFormatting>
  <conditionalFormatting sqref="A79:B79">
    <cfRule type="cellIs" dxfId="1124" priority="2176" operator="equal">
      <formula>""</formula>
    </cfRule>
  </conditionalFormatting>
  <conditionalFormatting sqref="A109">
    <cfRule type="cellIs" dxfId="1123" priority="2170" operator="equal">
      <formula>"n/a"</formula>
    </cfRule>
  </conditionalFormatting>
  <conditionalFormatting sqref="A109">
    <cfRule type="cellIs" dxfId="1122" priority="2171" operator="equal">
      <formula>""</formula>
    </cfRule>
  </conditionalFormatting>
  <conditionalFormatting sqref="A109:B109">
    <cfRule type="cellIs" dxfId="1121" priority="2168" operator="equal">
      <formula>""</formula>
    </cfRule>
  </conditionalFormatting>
  <conditionalFormatting sqref="A139">
    <cfRule type="cellIs" dxfId="1120" priority="2166" operator="equal">
      <formula>"n/a"</formula>
    </cfRule>
  </conditionalFormatting>
  <conditionalFormatting sqref="A139">
    <cfRule type="cellIs" dxfId="1119" priority="2167" operator="equal">
      <formula>""</formula>
    </cfRule>
  </conditionalFormatting>
  <conditionalFormatting sqref="B139">
    <cfRule type="cellIs" dxfId="1118" priority="2165" operator="equal">
      <formula>"n/a"</formula>
    </cfRule>
  </conditionalFormatting>
  <conditionalFormatting sqref="A139:B139">
    <cfRule type="cellIs" dxfId="1117" priority="2164" operator="equal">
      <formula>""</formula>
    </cfRule>
  </conditionalFormatting>
  <conditionalFormatting sqref="A54">
    <cfRule type="cellIs" dxfId="1116" priority="2162" operator="equal">
      <formula>"n/a"</formula>
    </cfRule>
    <cfRule type="cellIs" dxfId="1115" priority="2163" operator="equal">
      <formula>""</formula>
    </cfRule>
  </conditionalFormatting>
  <conditionalFormatting sqref="A60">
    <cfRule type="cellIs" dxfId="1114" priority="2160" operator="equal">
      <formula>"n/a"</formula>
    </cfRule>
    <cfRule type="cellIs" dxfId="1113" priority="2161" operator="equal">
      <formula>""</formula>
    </cfRule>
  </conditionalFormatting>
  <conditionalFormatting sqref="A66">
    <cfRule type="cellIs" dxfId="1112" priority="2158" operator="equal">
      <formula>"n/a"</formula>
    </cfRule>
    <cfRule type="cellIs" dxfId="1111" priority="2159" operator="equal">
      <formula>""</formula>
    </cfRule>
  </conditionalFormatting>
  <conditionalFormatting sqref="A162">
    <cfRule type="cellIs" dxfId="1110" priority="2106" operator="equal">
      <formula>"n/a"</formula>
    </cfRule>
    <cfRule type="cellIs" dxfId="1109" priority="2107" operator="equal">
      <formula>""</formula>
    </cfRule>
  </conditionalFormatting>
  <conditionalFormatting sqref="A72">
    <cfRule type="cellIs" dxfId="1108" priority="2156" operator="equal">
      <formula>"n/a"</formula>
    </cfRule>
    <cfRule type="cellIs" dxfId="1107" priority="2157" operator="equal">
      <formula>""</formula>
    </cfRule>
  </conditionalFormatting>
  <conditionalFormatting sqref="A72">
    <cfRule type="cellIs" dxfId="1106" priority="2154" operator="equal">
      <formula>"n/a"</formula>
    </cfRule>
    <cfRule type="cellIs" dxfId="1105" priority="2155" operator="equal">
      <formula>""</formula>
    </cfRule>
  </conditionalFormatting>
  <conditionalFormatting sqref="A84">
    <cfRule type="cellIs" dxfId="1104" priority="2152" operator="equal">
      <formula>"n/a"</formula>
    </cfRule>
    <cfRule type="cellIs" dxfId="1103" priority="2153" operator="equal">
      <formula>""</formula>
    </cfRule>
  </conditionalFormatting>
  <conditionalFormatting sqref="A84">
    <cfRule type="cellIs" dxfId="1102" priority="2150" operator="equal">
      <formula>"n/a"</formula>
    </cfRule>
    <cfRule type="cellIs" dxfId="1101" priority="2151" operator="equal">
      <formula>""</formula>
    </cfRule>
  </conditionalFormatting>
  <conditionalFormatting sqref="A90">
    <cfRule type="cellIs" dxfId="1100" priority="2148" operator="equal">
      <formula>"n/a"</formula>
    </cfRule>
    <cfRule type="cellIs" dxfId="1099" priority="2149" operator="equal">
      <formula>""</formula>
    </cfRule>
  </conditionalFormatting>
  <conditionalFormatting sqref="A90">
    <cfRule type="cellIs" dxfId="1098" priority="2146" operator="equal">
      <formula>"n/a"</formula>
    </cfRule>
    <cfRule type="cellIs" dxfId="1097" priority="2147" operator="equal">
      <formula>""</formula>
    </cfRule>
  </conditionalFormatting>
  <conditionalFormatting sqref="A96">
    <cfRule type="cellIs" dxfId="1096" priority="2144" operator="equal">
      <formula>"n/a"</formula>
    </cfRule>
    <cfRule type="cellIs" dxfId="1095" priority="2145" operator="equal">
      <formula>""</formula>
    </cfRule>
  </conditionalFormatting>
  <conditionalFormatting sqref="A96">
    <cfRule type="cellIs" dxfId="1094" priority="2142" operator="equal">
      <formula>"n/a"</formula>
    </cfRule>
    <cfRule type="cellIs" dxfId="1093" priority="2143" operator="equal">
      <formula>""</formula>
    </cfRule>
  </conditionalFormatting>
  <conditionalFormatting sqref="A102">
    <cfRule type="cellIs" dxfId="1092" priority="2140" operator="equal">
      <formula>"n/a"</formula>
    </cfRule>
    <cfRule type="cellIs" dxfId="1091" priority="2141" operator="equal">
      <formula>""</formula>
    </cfRule>
  </conditionalFormatting>
  <conditionalFormatting sqref="A102">
    <cfRule type="cellIs" dxfId="1090" priority="2138" operator="equal">
      <formula>"n/a"</formula>
    </cfRule>
    <cfRule type="cellIs" dxfId="1089" priority="2139" operator="equal">
      <formula>""</formula>
    </cfRule>
  </conditionalFormatting>
  <conditionalFormatting sqref="A114">
    <cfRule type="cellIs" dxfId="1088" priority="2136" operator="equal">
      <formula>"n/a"</formula>
    </cfRule>
    <cfRule type="cellIs" dxfId="1087" priority="2137" operator="equal">
      <formula>""</formula>
    </cfRule>
  </conditionalFormatting>
  <conditionalFormatting sqref="A114">
    <cfRule type="cellIs" dxfId="1086" priority="2134" operator="equal">
      <formula>"n/a"</formula>
    </cfRule>
    <cfRule type="cellIs" dxfId="1085" priority="2135" operator="equal">
      <formula>""</formula>
    </cfRule>
  </conditionalFormatting>
  <conditionalFormatting sqref="A120">
    <cfRule type="cellIs" dxfId="1084" priority="2132" operator="equal">
      <formula>"n/a"</formula>
    </cfRule>
    <cfRule type="cellIs" dxfId="1083" priority="2133" operator="equal">
      <formula>""</formula>
    </cfRule>
  </conditionalFormatting>
  <conditionalFormatting sqref="A120">
    <cfRule type="cellIs" dxfId="1082" priority="2130" operator="equal">
      <formula>"n/a"</formula>
    </cfRule>
    <cfRule type="cellIs" dxfId="1081" priority="2131" operator="equal">
      <formula>""</formula>
    </cfRule>
  </conditionalFormatting>
  <conditionalFormatting sqref="A126">
    <cfRule type="cellIs" dxfId="1080" priority="2128" operator="equal">
      <formula>"n/a"</formula>
    </cfRule>
    <cfRule type="cellIs" dxfId="1079" priority="2129" operator="equal">
      <formula>""</formula>
    </cfRule>
  </conditionalFormatting>
  <conditionalFormatting sqref="A126">
    <cfRule type="cellIs" dxfId="1078" priority="2126" operator="equal">
      <formula>"n/a"</formula>
    </cfRule>
    <cfRule type="cellIs" dxfId="1077" priority="2127" operator="equal">
      <formula>""</formula>
    </cfRule>
  </conditionalFormatting>
  <conditionalFormatting sqref="A132">
    <cfRule type="cellIs" dxfId="1076" priority="2124" operator="equal">
      <formula>"n/a"</formula>
    </cfRule>
    <cfRule type="cellIs" dxfId="1075" priority="2125" operator="equal">
      <formula>""</formula>
    </cfRule>
  </conditionalFormatting>
  <conditionalFormatting sqref="A132">
    <cfRule type="cellIs" dxfId="1074" priority="2122" operator="equal">
      <formula>"n/a"</formula>
    </cfRule>
    <cfRule type="cellIs" dxfId="1073" priority="2123" operator="equal">
      <formula>""</formula>
    </cfRule>
  </conditionalFormatting>
  <conditionalFormatting sqref="A144">
    <cfRule type="cellIs" dxfId="1072" priority="2120" operator="equal">
      <formula>"n/a"</formula>
    </cfRule>
    <cfRule type="cellIs" dxfId="1071" priority="2121" operator="equal">
      <formula>""</formula>
    </cfRule>
  </conditionalFormatting>
  <conditionalFormatting sqref="A144">
    <cfRule type="cellIs" dxfId="1070" priority="2118" operator="equal">
      <formula>"n/a"</formula>
    </cfRule>
    <cfRule type="cellIs" dxfId="1069" priority="2119" operator="equal">
      <formula>""</formula>
    </cfRule>
  </conditionalFormatting>
  <conditionalFormatting sqref="A150">
    <cfRule type="cellIs" dxfId="1068" priority="2116" operator="equal">
      <formula>"n/a"</formula>
    </cfRule>
    <cfRule type="cellIs" dxfId="1067" priority="2117" operator="equal">
      <formula>""</formula>
    </cfRule>
  </conditionalFormatting>
  <conditionalFormatting sqref="A150">
    <cfRule type="cellIs" dxfId="1066" priority="2114" operator="equal">
      <formula>"n/a"</formula>
    </cfRule>
    <cfRule type="cellIs" dxfId="1065" priority="2115" operator="equal">
      <formula>""</formula>
    </cfRule>
  </conditionalFormatting>
  <conditionalFormatting sqref="A156">
    <cfRule type="cellIs" dxfId="1064" priority="2112" operator="equal">
      <formula>"n/a"</formula>
    </cfRule>
    <cfRule type="cellIs" dxfId="1063" priority="2113" operator="equal">
      <formula>""</formula>
    </cfRule>
  </conditionalFormatting>
  <conditionalFormatting sqref="A156">
    <cfRule type="cellIs" dxfId="1062" priority="2110" operator="equal">
      <formula>"n/a"</formula>
    </cfRule>
    <cfRule type="cellIs" dxfId="1061" priority="2111" operator="equal">
      <formula>""</formula>
    </cfRule>
  </conditionalFormatting>
  <conditionalFormatting sqref="A162">
    <cfRule type="cellIs" dxfId="1060" priority="2108" operator="equal">
      <formula>"n/a"</formula>
    </cfRule>
    <cfRule type="cellIs" dxfId="1059" priority="2109" operator="equal">
      <formula>""</formula>
    </cfRule>
  </conditionalFormatting>
  <conditionalFormatting sqref="D244">
    <cfRule type="cellIs" dxfId="1058" priority="2103" operator="equal">
      <formula>""</formula>
    </cfRule>
  </conditionalFormatting>
  <conditionalFormatting sqref="C244:D244 C243">
    <cfRule type="cellIs" dxfId="1057" priority="2102" operator="equal">
      <formula>"n/a"</formula>
    </cfRule>
  </conditionalFormatting>
  <conditionalFormatting sqref="C244:D244 C243">
    <cfRule type="cellIs" dxfId="1056" priority="2101" operator="equal">
      <formula>""</formula>
    </cfRule>
  </conditionalFormatting>
  <conditionalFormatting sqref="A279">
    <cfRule type="cellIs" dxfId="1055" priority="2040" operator="equal">
      <formula>"n/a"</formula>
    </cfRule>
  </conditionalFormatting>
  <conditionalFormatting sqref="A279:B279">
    <cfRule type="cellIs" dxfId="1054" priority="2038" operator="equal">
      <formula>""</formula>
    </cfRule>
  </conditionalFormatting>
  <conditionalFormatting sqref="A283:B283">
    <cfRule type="cellIs" dxfId="1053" priority="2037" operator="equal">
      <formula>""</formula>
    </cfRule>
  </conditionalFormatting>
  <conditionalFormatting sqref="D165">
    <cfRule type="cellIs" dxfId="1052" priority="1901" operator="equal">
      <formula>""</formula>
    </cfRule>
  </conditionalFormatting>
  <conditionalFormatting sqref="D159">
    <cfRule type="cellIs" dxfId="1051" priority="1898" operator="equal">
      <formula>""</formula>
    </cfRule>
  </conditionalFormatting>
  <conditionalFormatting sqref="D153">
    <cfRule type="cellIs" dxfId="1050" priority="1895" operator="equal">
      <formula>""</formula>
    </cfRule>
  </conditionalFormatting>
  <conditionalFormatting sqref="D147">
    <cfRule type="cellIs" dxfId="1049" priority="1892" operator="equal">
      <formula>""</formula>
    </cfRule>
  </conditionalFormatting>
  <conditionalFormatting sqref="D135">
    <cfRule type="cellIs" dxfId="1048" priority="1889" operator="equal">
      <formula>""</formula>
    </cfRule>
  </conditionalFormatting>
  <conditionalFormatting sqref="D129">
    <cfRule type="cellIs" dxfId="1047" priority="1886" operator="equal">
      <formula>""</formula>
    </cfRule>
  </conditionalFormatting>
  <conditionalFormatting sqref="D123">
    <cfRule type="cellIs" dxfId="1046" priority="1883" operator="equal">
      <formula>""</formula>
    </cfRule>
  </conditionalFormatting>
  <conditionalFormatting sqref="D117">
    <cfRule type="cellIs" dxfId="1045" priority="1880" operator="equal">
      <formula>""</formula>
    </cfRule>
  </conditionalFormatting>
  <conditionalFormatting sqref="D105">
    <cfRule type="cellIs" dxfId="1044" priority="1877" operator="equal">
      <formula>""</formula>
    </cfRule>
  </conditionalFormatting>
  <conditionalFormatting sqref="D99">
    <cfRule type="cellIs" dxfId="1043" priority="1874" operator="equal">
      <formula>""</formula>
    </cfRule>
  </conditionalFormatting>
  <conditionalFormatting sqref="D93">
    <cfRule type="cellIs" dxfId="1042" priority="1871" operator="equal">
      <formula>""</formula>
    </cfRule>
  </conditionalFormatting>
  <conditionalFormatting sqref="D87">
    <cfRule type="cellIs" dxfId="1041" priority="1868" operator="equal">
      <formula>""</formula>
    </cfRule>
  </conditionalFormatting>
  <conditionalFormatting sqref="D75">
    <cfRule type="cellIs" dxfId="1040" priority="1865" operator="equal">
      <formula>""</formula>
    </cfRule>
  </conditionalFormatting>
  <conditionalFormatting sqref="D69">
    <cfRule type="cellIs" dxfId="1039" priority="1862" operator="equal">
      <formula>""</formula>
    </cfRule>
  </conditionalFormatting>
  <conditionalFormatting sqref="D63">
    <cfRule type="cellIs" dxfId="1038" priority="1859" operator="equal">
      <formula>""</formula>
    </cfRule>
  </conditionalFormatting>
  <conditionalFormatting sqref="B2">
    <cfRule type="cellIs" dxfId="1037" priority="1653" operator="equal">
      <formula>""</formula>
    </cfRule>
  </conditionalFormatting>
  <conditionalFormatting sqref="B2">
    <cfRule type="cellIs" dxfId="1036" priority="1652" operator="equal">
      <formula>"n/a"</formula>
    </cfRule>
  </conditionalFormatting>
  <conditionalFormatting sqref="B2">
    <cfRule type="cellIs" dxfId="1035" priority="1651" operator="equal">
      <formula>""</formula>
    </cfRule>
  </conditionalFormatting>
  <conditionalFormatting sqref="D2">
    <cfRule type="cellIs" dxfId="1034" priority="1650" operator="equal">
      <formula>""</formula>
    </cfRule>
  </conditionalFormatting>
  <conditionalFormatting sqref="D2">
    <cfRule type="cellIs" dxfId="1033" priority="1649" operator="equal">
      <formula>"n/a"</formula>
    </cfRule>
  </conditionalFormatting>
  <conditionalFormatting sqref="D2">
    <cfRule type="cellIs" dxfId="1032" priority="1648" operator="equal">
      <formula>""</formula>
    </cfRule>
  </conditionalFormatting>
  <conditionalFormatting sqref="B3">
    <cfRule type="cellIs" dxfId="1031" priority="1647" operator="equal">
      <formula>""</formula>
    </cfRule>
  </conditionalFormatting>
  <conditionalFormatting sqref="B3">
    <cfRule type="cellIs" dxfId="1030" priority="1646" operator="equal">
      <formula>"n/a"</formula>
    </cfRule>
  </conditionalFormatting>
  <conditionalFormatting sqref="B3">
    <cfRule type="cellIs" dxfId="1029" priority="1645" operator="equal">
      <formula>""</formula>
    </cfRule>
  </conditionalFormatting>
  <conditionalFormatting sqref="D3">
    <cfRule type="cellIs" dxfId="1028" priority="1644" operator="equal">
      <formula>""</formula>
    </cfRule>
  </conditionalFormatting>
  <conditionalFormatting sqref="D3">
    <cfRule type="cellIs" dxfId="1027" priority="1643" operator="equal">
      <formula>"n/a"</formula>
    </cfRule>
  </conditionalFormatting>
  <conditionalFormatting sqref="D3">
    <cfRule type="cellIs" dxfId="1026" priority="1642" operator="equal">
      <formula>""</formula>
    </cfRule>
  </conditionalFormatting>
  <conditionalFormatting sqref="A104">
    <cfRule type="cellIs" dxfId="1025" priority="1204" operator="equal">
      <formula>"n/a"</formula>
    </cfRule>
  </conditionalFormatting>
  <conditionalFormatting sqref="C64">
    <cfRule type="cellIs" dxfId="1024" priority="1511" operator="equal">
      <formula>"n/a"</formula>
    </cfRule>
  </conditionalFormatting>
  <conditionalFormatting sqref="C64">
    <cfRule type="cellIs" dxfId="1023" priority="1512" operator="equal">
      <formula>""</formula>
    </cfRule>
  </conditionalFormatting>
  <conditionalFormatting sqref="C64">
    <cfRule type="cellIs" dxfId="1022" priority="1510" operator="equal">
      <formula>"Need to specify income type"</formula>
    </cfRule>
  </conditionalFormatting>
  <conditionalFormatting sqref="C64">
    <cfRule type="cellIs" dxfId="1021" priority="1509" operator="equal">
      <formula>""</formula>
    </cfRule>
  </conditionalFormatting>
  <conditionalFormatting sqref="C70">
    <cfRule type="cellIs" dxfId="1020" priority="1507" operator="equal">
      <formula>"n/a"</formula>
    </cfRule>
  </conditionalFormatting>
  <conditionalFormatting sqref="C70">
    <cfRule type="cellIs" dxfId="1019" priority="1508" operator="equal">
      <formula>""</formula>
    </cfRule>
  </conditionalFormatting>
  <conditionalFormatting sqref="C70">
    <cfRule type="cellIs" dxfId="1018" priority="1506" operator="equal">
      <formula>"Need to specify income type"</formula>
    </cfRule>
  </conditionalFormatting>
  <conditionalFormatting sqref="C70">
    <cfRule type="cellIs" dxfId="1017" priority="1505" operator="equal">
      <formula>""</formula>
    </cfRule>
  </conditionalFormatting>
  <conditionalFormatting sqref="C76">
    <cfRule type="cellIs" dxfId="1016" priority="1503" operator="equal">
      <formula>"n/a"</formula>
    </cfRule>
  </conditionalFormatting>
  <conditionalFormatting sqref="C76">
    <cfRule type="cellIs" dxfId="1015" priority="1504" operator="equal">
      <formula>""</formula>
    </cfRule>
  </conditionalFormatting>
  <conditionalFormatting sqref="C76">
    <cfRule type="cellIs" dxfId="1014" priority="1502" operator="equal">
      <formula>"Need to specify income type"</formula>
    </cfRule>
  </conditionalFormatting>
  <conditionalFormatting sqref="C76">
    <cfRule type="cellIs" dxfId="1013" priority="1501" operator="equal">
      <formula>""</formula>
    </cfRule>
  </conditionalFormatting>
  <conditionalFormatting sqref="C88">
    <cfRule type="cellIs" dxfId="1012" priority="1499" operator="equal">
      <formula>"n/a"</formula>
    </cfRule>
  </conditionalFormatting>
  <conditionalFormatting sqref="C88">
    <cfRule type="cellIs" dxfId="1011" priority="1500" operator="equal">
      <formula>""</formula>
    </cfRule>
  </conditionalFormatting>
  <conditionalFormatting sqref="C88">
    <cfRule type="cellIs" dxfId="1010" priority="1498" operator="equal">
      <formula>"Need to specify income type"</formula>
    </cfRule>
  </conditionalFormatting>
  <conditionalFormatting sqref="C88">
    <cfRule type="cellIs" dxfId="1009" priority="1497" operator="equal">
      <formula>""</formula>
    </cfRule>
  </conditionalFormatting>
  <conditionalFormatting sqref="C94">
    <cfRule type="cellIs" dxfId="1008" priority="1495" operator="equal">
      <formula>"n/a"</formula>
    </cfRule>
  </conditionalFormatting>
  <conditionalFormatting sqref="C94">
    <cfRule type="cellIs" dxfId="1007" priority="1496" operator="equal">
      <formula>""</formula>
    </cfRule>
  </conditionalFormatting>
  <conditionalFormatting sqref="C94">
    <cfRule type="cellIs" dxfId="1006" priority="1494" operator="equal">
      <formula>"Need to specify income type"</formula>
    </cfRule>
  </conditionalFormatting>
  <conditionalFormatting sqref="C94">
    <cfRule type="cellIs" dxfId="1005" priority="1493" operator="equal">
      <formula>""</formula>
    </cfRule>
  </conditionalFormatting>
  <conditionalFormatting sqref="C100">
    <cfRule type="cellIs" dxfId="1004" priority="1491" operator="equal">
      <formula>"n/a"</formula>
    </cfRule>
  </conditionalFormatting>
  <conditionalFormatting sqref="C100">
    <cfRule type="cellIs" dxfId="1003" priority="1492" operator="equal">
      <formula>""</formula>
    </cfRule>
  </conditionalFormatting>
  <conditionalFormatting sqref="C100">
    <cfRule type="cellIs" dxfId="1002" priority="1490" operator="equal">
      <formula>"Need to specify income type"</formula>
    </cfRule>
  </conditionalFormatting>
  <conditionalFormatting sqref="C100">
    <cfRule type="cellIs" dxfId="1001" priority="1489" operator="equal">
      <formula>""</formula>
    </cfRule>
  </conditionalFormatting>
  <conditionalFormatting sqref="C106">
    <cfRule type="cellIs" dxfId="1000" priority="1487" operator="equal">
      <formula>"n/a"</formula>
    </cfRule>
  </conditionalFormatting>
  <conditionalFormatting sqref="C106">
    <cfRule type="cellIs" dxfId="999" priority="1488" operator="equal">
      <formula>""</formula>
    </cfRule>
  </conditionalFormatting>
  <conditionalFormatting sqref="C106">
    <cfRule type="cellIs" dxfId="998" priority="1486" operator="equal">
      <formula>"Need to specify income type"</formula>
    </cfRule>
  </conditionalFormatting>
  <conditionalFormatting sqref="C106">
    <cfRule type="cellIs" dxfId="997" priority="1485" operator="equal">
      <formula>""</formula>
    </cfRule>
  </conditionalFormatting>
  <conditionalFormatting sqref="C118">
    <cfRule type="cellIs" dxfId="996" priority="1483" operator="equal">
      <formula>"n/a"</formula>
    </cfRule>
  </conditionalFormatting>
  <conditionalFormatting sqref="C118">
    <cfRule type="cellIs" dxfId="995" priority="1484" operator="equal">
      <formula>""</formula>
    </cfRule>
  </conditionalFormatting>
  <conditionalFormatting sqref="C118">
    <cfRule type="cellIs" dxfId="994" priority="1482" operator="equal">
      <formula>"Need to specify income type"</formula>
    </cfRule>
  </conditionalFormatting>
  <conditionalFormatting sqref="C118">
    <cfRule type="cellIs" dxfId="993" priority="1481" operator="equal">
      <formula>""</formula>
    </cfRule>
  </conditionalFormatting>
  <conditionalFormatting sqref="C124">
    <cfRule type="cellIs" dxfId="992" priority="1479" operator="equal">
      <formula>"n/a"</formula>
    </cfRule>
  </conditionalFormatting>
  <conditionalFormatting sqref="C124">
    <cfRule type="cellIs" dxfId="991" priority="1480" operator="equal">
      <formula>""</formula>
    </cfRule>
  </conditionalFormatting>
  <conditionalFormatting sqref="C124">
    <cfRule type="cellIs" dxfId="990" priority="1478" operator="equal">
      <formula>"Need to specify income type"</formula>
    </cfRule>
  </conditionalFormatting>
  <conditionalFormatting sqref="C124">
    <cfRule type="cellIs" dxfId="989" priority="1477" operator="equal">
      <formula>""</formula>
    </cfRule>
  </conditionalFormatting>
  <conditionalFormatting sqref="C130">
    <cfRule type="cellIs" dxfId="988" priority="1475" operator="equal">
      <formula>"n/a"</formula>
    </cfRule>
  </conditionalFormatting>
  <conditionalFormatting sqref="C130">
    <cfRule type="cellIs" dxfId="987" priority="1476" operator="equal">
      <formula>""</formula>
    </cfRule>
  </conditionalFormatting>
  <conditionalFormatting sqref="C130">
    <cfRule type="cellIs" dxfId="986" priority="1474" operator="equal">
      <formula>"Need to specify income type"</formula>
    </cfRule>
  </conditionalFormatting>
  <conditionalFormatting sqref="C130">
    <cfRule type="cellIs" dxfId="985" priority="1473" operator="equal">
      <formula>""</formula>
    </cfRule>
  </conditionalFormatting>
  <conditionalFormatting sqref="C136">
    <cfRule type="cellIs" dxfId="984" priority="1471" operator="equal">
      <formula>"n/a"</formula>
    </cfRule>
  </conditionalFormatting>
  <conditionalFormatting sqref="C136">
    <cfRule type="cellIs" dxfId="983" priority="1472" operator="equal">
      <formula>""</formula>
    </cfRule>
  </conditionalFormatting>
  <conditionalFormatting sqref="C136">
    <cfRule type="cellIs" dxfId="982" priority="1470" operator="equal">
      <formula>"Need to specify income type"</formula>
    </cfRule>
  </conditionalFormatting>
  <conditionalFormatting sqref="C136">
    <cfRule type="cellIs" dxfId="981" priority="1469" operator="equal">
      <formula>""</formula>
    </cfRule>
  </conditionalFormatting>
  <conditionalFormatting sqref="C148">
    <cfRule type="cellIs" dxfId="980" priority="1467" operator="equal">
      <formula>"n/a"</formula>
    </cfRule>
  </conditionalFormatting>
  <conditionalFormatting sqref="C148">
    <cfRule type="cellIs" dxfId="979" priority="1468" operator="equal">
      <formula>""</formula>
    </cfRule>
  </conditionalFormatting>
  <conditionalFormatting sqref="C148">
    <cfRule type="cellIs" dxfId="978" priority="1466" operator="equal">
      <formula>"Need to specify income type"</formula>
    </cfRule>
  </conditionalFormatting>
  <conditionalFormatting sqref="C148">
    <cfRule type="cellIs" dxfId="977" priority="1465" operator="equal">
      <formula>""</formula>
    </cfRule>
  </conditionalFormatting>
  <conditionalFormatting sqref="C154">
    <cfRule type="cellIs" dxfId="976" priority="1463" operator="equal">
      <formula>"n/a"</formula>
    </cfRule>
  </conditionalFormatting>
  <conditionalFormatting sqref="C154">
    <cfRule type="cellIs" dxfId="975" priority="1464" operator="equal">
      <formula>""</formula>
    </cfRule>
  </conditionalFormatting>
  <conditionalFormatting sqref="C154">
    <cfRule type="cellIs" dxfId="974" priority="1462" operator="equal">
      <formula>"Need to specify income type"</formula>
    </cfRule>
  </conditionalFormatting>
  <conditionalFormatting sqref="C154">
    <cfRule type="cellIs" dxfId="973" priority="1461" operator="equal">
      <formula>""</formula>
    </cfRule>
  </conditionalFormatting>
  <conditionalFormatting sqref="C160">
    <cfRule type="cellIs" dxfId="972" priority="1459" operator="equal">
      <formula>"n/a"</formula>
    </cfRule>
  </conditionalFormatting>
  <conditionalFormatting sqref="C160">
    <cfRule type="cellIs" dxfId="971" priority="1460" operator="equal">
      <formula>""</formula>
    </cfRule>
  </conditionalFormatting>
  <conditionalFormatting sqref="C160">
    <cfRule type="cellIs" dxfId="970" priority="1458" operator="equal">
      <formula>"Need to specify income type"</formula>
    </cfRule>
  </conditionalFormatting>
  <conditionalFormatting sqref="C160">
    <cfRule type="cellIs" dxfId="969" priority="1457" operator="equal">
      <formula>""</formula>
    </cfRule>
  </conditionalFormatting>
  <conditionalFormatting sqref="C166">
    <cfRule type="cellIs" dxfId="968" priority="1455" operator="equal">
      <formula>"n/a"</formula>
    </cfRule>
  </conditionalFormatting>
  <conditionalFormatting sqref="C166">
    <cfRule type="cellIs" dxfId="967" priority="1456" operator="equal">
      <formula>""</formula>
    </cfRule>
  </conditionalFormatting>
  <conditionalFormatting sqref="C166">
    <cfRule type="cellIs" dxfId="966" priority="1454" operator="equal">
      <formula>"Need to specify income type"</formula>
    </cfRule>
  </conditionalFormatting>
  <conditionalFormatting sqref="C166">
    <cfRule type="cellIs" dxfId="965" priority="1453" operator="equal">
      <formula>""</formula>
    </cfRule>
  </conditionalFormatting>
  <conditionalFormatting sqref="C234:C238">
    <cfRule type="cellIs" dxfId="964" priority="1416" operator="equal">
      <formula>""</formula>
    </cfRule>
  </conditionalFormatting>
  <conditionalFormatting sqref="C233">
    <cfRule type="cellIs" dxfId="963" priority="1413" operator="equal">
      <formula>""</formula>
    </cfRule>
  </conditionalFormatting>
  <conditionalFormatting sqref="C233">
    <cfRule type="cellIs" dxfId="962" priority="1412" operator="equal">
      <formula>"n/a"</formula>
    </cfRule>
  </conditionalFormatting>
  <conditionalFormatting sqref="C233">
    <cfRule type="cellIs" dxfId="961" priority="1411" operator="equal">
      <formula>"Need to specify income type"</formula>
    </cfRule>
  </conditionalFormatting>
  <conditionalFormatting sqref="C233">
    <cfRule type="cellIs" dxfId="960" priority="1410" operator="equal">
      <formula>""</formula>
    </cfRule>
  </conditionalFormatting>
  <conditionalFormatting sqref="D234:D238">
    <cfRule type="cellIs" dxfId="959" priority="1409" operator="equal">
      <formula>"n/a"</formula>
    </cfRule>
  </conditionalFormatting>
  <conditionalFormatting sqref="D234:D238">
    <cfRule type="cellIs" dxfId="958" priority="1408" operator="equal">
      <formula>""</formula>
    </cfRule>
  </conditionalFormatting>
  <conditionalFormatting sqref="B67">
    <cfRule type="cellIs" dxfId="957" priority="1022" operator="equal">
      <formula>"n/a"</formula>
    </cfRule>
  </conditionalFormatting>
  <conditionalFormatting sqref="B67">
    <cfRule type="cellIs" dxfId="956" priority="1021" operator="equal">
      <formula>""</formula>
    </cfRule>
  </conditionalFormatting>
  <conditionalFormatting sqref="D64">
    <cfRule type="cellIs" dxfId="955" priority="1394" operator="equal">
      <formula>""</formula>
    </cfRule>
  </conditionalFormatting>
  <conditionalFormatting sqref="D64">
    <cfRule type="cellIs" dxfId="954" priority="1393" operator="equal">
      <formula>"n/a"</formula>
    </cfRule>
  </conditionalFormatting>
  <conditionalFormatting sqref="D64">
    <cfRule type="cellIs" dxfId="953" priority="1392" operator="equal">
      <formula>""</formula>
    </cfRule>
  </conditionalFormatting>
  <conditionalFormatting sqref="D70">
    <cfRule type="cellIs" dxfId="952" priority="1391" operator="equal">
      <formula>""</formula>
    </cfRule>
  </conditionalFormatting>
  <conditionalFormatting sqref="D70">
    <cfRule type="cellIs" dxfId="951" priority="1390" operator="equal">
      <formula>"n/a"</formula>
    </cfRule>
  </conditionalFormatting>
  <conditionalFormatting sqref="D70">
    <cfRule type="cellIs" dxfId="950" priority="1389" operator="equal">
      <formula>""</formula>
    </cfRule>
  </conditionalFormatting>
  <conditionalFormatting sqref="D76">
    <cfRule type="cellIs" dxfId="949" priority="1388" operator="equal">
      <formula>""</formula>
    </cfRule>
  </conditionalFormatting>
  <conditionalFormatting sqref="D76">
    <cfRule type="cellIs" dxfId="948" priority="1387" operator="equal">
      <formula>"n/a"</formula>
    </cfRule>
  </conditionalFormatting>
  <conditionalFormatting sqref="D76">
    <cfRule type="cellIs" dxfId="947" priority="1386" operator="equal">
      <formula>""</formula>
    </cfRule>
  </conditionalFormatting>
  <conditionalFormatting sqref="D88">
    <cfRule type="cellIs" dxfId="946" priority="1385" operator="equal">
      <formula>""</formula>
    </cfRule>
  </conditionalFormatting>
  <conditionalFormatting sqref="D88">
    <cfRule type="cellIs" dxfId="945" priority="1384" operator="equal">
      <formula>"n/a"</formula>
    </cfRule>
  </conditionalFormatting>
  <conditionalFormatting sqref="D88">
    <cfRule type="cellIs" dxfId="944" priority="1383" operator="equal">
      <formula>""</formula>
    </cfRule>
  </conditionalFormatting>
  <conditionalFormatting sqref="D94">
    <cfRule type="cellIs" dxfId="943" priority="1382" operator="equal">
      <formula>""</formula>
    </cfRule>
  </conditionalFormatting>
  <conditionalFormatting sqref="D94">
    <cfRule type="cellIs" dxfId="942" priority="1381" operator="equal">
      <formula>"n/a"</formula>
    </cfRule>
  </conditionalFormatting>
  <conditionalFormatting sqref="D94">
    <cfRule type="cellIs" dxfId="941" priority="1380" operator="equal">
      <formula>""</formula>
    </cfRule>
  </conditionalFormatting>
  <conditionalFormatting sqref="D100">
    <cfRule type="cellIs" dxfId="940" priority="1379" operator="equal">
      <formula>""</formula>
    </cfRule>
  </conditionalFormatting>
  <conditionalFormatting sqref="D100">
    <cfRule type="cellIs" dxfId="939" priority="1378" operator="equal">
      <formula>"n/a"</formula>
    </cfRule>
  </conditionalFormatting>
  <conditionalFormatting sqref="D100">
    <cfRule type="cellIs" dxfId="938" priority="1377" operator="equal">
      <formula>""</formula>
    </cfRule>
  </conditionalFormatting>
  <conditionalFormatting sqref="D106">
    <cfRule type="cellIs" dxfId="937" priority="1376" operator="equal">
      <formula>""</formula>
    </cfRule>
  </conditionalFormatting>
  <conditionalFormatting sqref="D106">
    <cfRule type="cellIs" dxfId="936" priority="1375" operator="equal">
      <formula>"n/a"</formula>
    </cfRule>
  </conditionalFormatting>
  <conditionalFormatting sqref="D106">
    <cfRule type="cellIs" dxfId="935" priority="1374" operator="equal">
      <formula>""</formula>
    </cfRule>
  </conditionalFormatting>
  <conditionalFormatting sqref="D118">
    <cfRule type="cellIs" dxfId="934" priority="1373" operator="equal">
      <formula>""</formula>
    </cfRule>
  </conditionalFormatting>
  <conditionalFormatting sqref="D118">
    <cfRule type="cellIs" dxfId="933" priority="1372" operator="equal">
      <formula>"n/a"</formula>
    </cfRule>
  </conditionalFormatting>
  <conditionalFormatting sqref="D118">
    <cfRule type="cellIs" dxfId="932" priority="1371" operator="equal">
      <formula>""</formula>
    </cfRule>
  </conditionalFormatting>
  <conditionalFormatting sqref="D124">
    <cfRule type="cellIs" dxfId="931" priority="1370" operator="equal">
      <formula>""</formula>
    </cfRule>
  </conditionalFormatting>
  <conditionalFormatting sqref="D124">
    <cfRule type="cellIs" dxfId="930" priority="1369" operator="equal">
      <formula>"n/a"</formula>
    </cfRule>
  </conditionalFormatting>
  <conditionalFormatting sqref="D124">
    <cfRule type="cellIs" dxfId="929" priority="1368" operator="equal">
      <formula>""</formula>
    </cfRule>
  </conditionalFormatting>
  <conditionalFormatting sqref="D130">
    <cfRule type="cellIs" dxfId="928" priority="1367" operator="equal">
      <formula>""</formula>
    </cfRule>
  </conditionalFormatting>
  <conditionalFormatting sqref="D130">
    <cfRule type="cellIs" dxfId="927" priority="1366" operator="equal">
      <formula>"n/a"</formula>
    </cfRule>
  </conditionalFormatting>
  <conditionalFormatting sqref="D130">
    <cfRule type="cellIs" dxfId="926" priority="1365" operator="equal">
      <formula>""</formula>
    </cfRule>
  </conditionalFormatting>
  <conditionalFormatting sqref="D136">
    <cfRule type="cellIs" dxfId="925" priority="1364" operator="equal">
      <formula>""</formula>
    </cfRule>
  </conditionalFormatting>
  <conditionalFormatting sqref="D136">
    <cfRule type="cellIs" dxfId="924" priority="1363" operator="equal">
      <formula>"n/a"</formula>
    </cfRule>
  </conditionalFormatting>
  <conditionalFormatting sqref="D136">
    <cfRule type="cellIs" dxfId="923" priority="1362" operator="equal">
      <formula>""</formula>
    </cfRule>
  </conditionalFormatting>
  <conditionalFormatting sqref="D148">
    <cfRule type="cellIs" dxfId="922" priority="1361" operator="equal">
      <formula>""</formula>
    </cfRule>
  </conditionalFormatting>
  <conditionalFormatting sqref="D148">
    <cfRule type="cellIs" dxfId="921" priority="1360" operator="equal">
      <formula>"n/a"</formula>
    </cfRule>
  </conditionalFormatting>
  <conditionalFormatting sqref="D148">
    <cfRule type="cellIs" dxfId="920" priority="1359" operator="equal">
      <formula>""</formula>
    </cfRule>
  </conditionalFormatting>
  <conditionalFormatting sqref="D154">
    <cfRule type="cellIs" dxfId="919" priority="1358" operator="equal">
      <formula>""</formula>
    </cfRule>
  </conditionalFormatting>
  <conditionalFormatting sqref="D154">
    <cfRule type="cellIs" dxfId="918" priority="1357" operator="equal">
      <formula>"n/a"</formula>
    </cfRule>
  </conditionalFormatting>
  <conditionalFormatting sqref="D154">
    <cfRule type="cellIs" dxfId="917" priority="1356" operator="equal">
      <formula>""</formula>
    </cfRule>
  </conditionalFormatting>
  <conditionalFormatting sqref="D160">
    <cfRule type="cellIs" dxfId="916" priority="1355" operator="equal">
      <formula>""</formula>
    </cfRule>
  </conditionalFormatting>
  <conditionalFormatting sqref="D160">
    <cfRule type="cellIs" dxfId="915" priority="1354" operator="equal">
      <formula>"n/a"</formula>
    </cfRule>
  </conditionalFormatting>
  <conditionalFormatting sqref="D160">
    <cfRule type="cellIs" dxfId="914" priority="1353" operator="equal">
      <formula>""</formula>
    </cfRule>
  </conditionalFormatting>
  <conditionalFormatting sqref="D166">
    <cfRule type="cellIs" dxfId="913" priority="1352" operator="equal">
      <formula>""</formula>
    </cfRule>
  </conditionalFormatting>
  <conditionalFormatting sqref="D166">
    <cfRule type="cellIs" dxfId="912" priority="1351" operator="equal">
      <formula>"n/a"</formula>
    </cfRule>
  </conditionalFormatting>
  <conditionalFormatting sqref="D166">
    <cfRule type="cellIs" dxfId="911" priority="1350" operator="equal">
      <formula>""</formula>
    </cfRule>
  </conditionalFormatting>
  <conditionalFormatting sqref="B158">
    <cfRule type="cellIs" dxfId="910" priority="1117" operator="equal">
      <formula>""</formula>
    </cfRule>
  </conditionalFormatting>
  <conditionalFormatting sqref="B158">
    <cfRule type="cellIs" dxfId="909" priority="1116" operator="equal">
      <formula>"n/a"</formula>
    </cfRule>
  </conditionalFormatting>
  <conditionalFormatting sqref="B158">
    <cfRule type="cellIs" dxfId="908" priority="1115" operator="equal">
      <formula>""</formula>
    </cfRule>
  </conditionalFormatting>
  <conditionalFormatting sqref="B68">
    <cfRule type="cellIs" dxfId="907" priority="1259" operator="equal">
      <formula>""</formula>
    </cfRule>
  </conditionalFormatting>
  <conditionalFormatting sqref="B133">
    <cfRule type="cellIs" dxfId="906" priority="1004" operator="equal">
      <formula>"n/a"</formula>
    </cfRule>
  </conditionalFormatting>
  <conditionalFormatting sqref="B133">
    <cfRule type="cellIs" dxfId="905" priority="1003" operator="equal">
      <formula>""</formula>
    </cfRule>
  </conditionalFormatting>
  <conditionalFormatting sqref="B74">
    <cfRule type="cellIs" dxfId="904" priority="1247" operator="equal">
      <formula>""</formula>
    </cfRule>
  </conditionalFormatting>
  <conditionalFormatting sqref="D243">
    <cfRule type="cellIs" dxfId="903" priority="948" operator="equal">
      <formula>"n/a"</formula>
    </cfRule>
  </conditionalFormatting>
  <conditionalFormatting sqref="D243">
    <cfRule type="cellIs" dxfId="902" priority="947" operator="equal">
      <formula>""</formula>
    </cfRule>
  </conditionalFormatting>
  <conditionalFormatting sqref="A62">
    <cfRule type="cellIs" dxfId="901" priority="1276" operator="equal">
      <formula>"n/a"</formula>
    </cfRule>
  </conditionalFormatting>
  <conditionalFormatting sqref="A62">
    <cfRule type="cellIs" dxfId="900" priority="1277" operator="equal">
      <formula>""</formula>
    </cfRule>
  </conditionalFormatting>
  <conditionalFormatting sqref="A62">
    <cfRule type="cellIs" dxfId="899" priority="1275" operator="equal">
      <formula>"Need to specify income type"</formula>
    </cfRule>
  </conditionalFormatting>
  <conditionalFormatting sqref="A62">
    <cfRule type="cellIs" dxfId="898" priority="1274" operator="equal">
      <formula>""</formula>
    </cfRule>
  </conditionalFormatting>
  <conditionalFormatting sqref="A68">
    <cfRule type="cellIs" dxfId="897" priority="1264" operator="equal">
      <formula>"n/a"</formula>
    </cfRule>
  </conditionalFormatting>
  <conditionalFormatting sqref="A68">
    <cfRule type="cellIs" dxfId="896" priority="1265" operator="equal">
      <formula>""</formula>
    </cfRule>
  </conditionalFormatting>
  <conditionalFormatting sqref="A68">
    <cfRule type="cellIs" dxfId="895" priority="1263" operator="equal">
      <formula>"Need to specify income type"</formula>
    </cfRule>
  </conditionalFormatting>
  <conditionalFormatting sqref="A68">
    <cfRule type="cellIs" dxfId="894" priority="1262" operator="equal">
      <formula>""</formula>
    </cfRule>
  </conditionalFormatting>
  <conditionalFormatting sqref="B68">
    <cfRule type="cellIs" dxfId="893" priority="1261" operator="equal">
      <formula>""</formula>
    </cfRule>
  </conditionalFormatting>
  <conditionalFormatting sqref="B68">
    <cfRule type="cellIs" dxfId="892" priority="1260" operator="equal">
      <formula>"n/a"</formula>
    </cfRule>
  </conditionalFormatting>
  <conditionalFormatting sqref="B98">
    <cfRule type="cellIs" dxfId="891" priority="1211" operator="equal">
      <formula>""</formula>
    </cfRule>
  </conditionalFormatting>
  <conditionalFormatting sqref="A74">
    <cfRule type="cellIs" dxfId="890" priority="1252" operator="equal">
      <formula>"n/a"</formula>
    </cfRule>
  </conditionalFormatting>
  <conditionalFormatting sqref="A74">
    <cfRule type="cellIs" dxfId="889" priority="1253" operator="equal">
      <formula>""</formula>
    </cfRule>
  </conditionalFormatting>
  <conditionalFormatting sqref="A74">
    <cfRule type="cellIs" dxfId="888" priority="1251" operator="equal">
      <formula>"Need to specify income type"</formula>
    </cfRule>
  </conditionalFormatting>
  <conditionalFormatting sqref="A74">
    <cfRule type="cellIs" dxfId="887" priority="1250" operator="equal">
      <formula>""</formula>
    </cfRule>
  </conditionalFormatting>
  <conditionalFormatting sqref="B74">
    <cfRule type="cellIs" dxfId="886" priority="1249" operator="equal">
      <formula>""</formula>
    </cfRule>
  </conditionalFormatting>
  <conditionalFormatting sqref="B74">
    <cfRule type="cellIs" dxfId="885" priority="1248" operator="equal">
      <formula>"n/a"</formula>
    </cfRule>
  </conditionalFormatting>
  <conditionalFormatting sqref="B104">
    <cfRule type="cellIs" dxfId="884" priority="1199" operator="equal">
      <formula>""</formula>
    </cfRule>
  </conditionalFormatting>
  <conditionalFormatting sqref="A86">
    <cfRule type="cellIs" dxfId="883" priority="1240" operator="equal">
      <formula>"n/a"</formula>
    </cfRule>
  </conditionalFormatting>
  <conditionalFormatting sqref="A86">
    <cfRule type="cellIs" dxfId="882" priority="1241" operator="equal">
      <formula>""</formula>
    </cfRule>
  </conditionalFormatting>
  <conditionalFormatting sqref="A86">
    <cfRule type="cellIs" dxfId="881" priority="1239" operator="equal">
      <formula>"Need to specify income type"</formula>
    </cfRule>
  </conditionalFormatting>
  <conditionalFormatting sqref="A86">
    <cfRule type="cellIs" dxfId="880" priority="1238" operator="equal">
      <formula>""</formula>
    </cfRule>
  </conditionalFormatting>
  <conditionalFormatting sqref="A92">
    <cfRule type="cellIs" dxfId="879" priority="1228" operator="equal">
      <formula>"n/a"</formula>
    </cfRule>
  </conditionalFormatting>
  <conditionalFormatting sqref="A92">
    <cfRule type="cellIs" dxfId="878" priority="1229" operator="equal">
      <formula>""</formula>
    </cfRule>
  </conditionalFormatting>
  <conditionalFormatting sqref="A92">
    <cfRule type="cellIs" dxfId="877" priority="1227" operator="equal">
      <formula>"Need to specify income type"</formula>
    </cfRule>
  </conditionalFormatting>
  <conditionalFormatting sqref="A92">
    <cfRule type="cellIs" dxfId="876" priority="1226" operator="equal">
      <formula>""</formula>
    </cfRule>
  </conditionalFormatting>
  <conditionalFormatting sqref="A98">
    <cfRule type="cellIs" dxfId="875" priority="1216" operator="equal">
      <formula>"n/a"</formula>
    </cfRule>
  </conditionalFormatting>
  <conditionalFormatting sqref="A98">
    <cfRule type="cellIs" dxfId="874" priority="1217" operator="equal">
      <formula>""</formula>
    </cfRule>
  </conditionalFormatting>
  <conditionalFormatting sqref="A98">
    <cfRule type="cellIs" dxfId="873" priority="1215" operator="equal">
      <formula>"Need to specify income type"</formula>
    </cfRule>
  </conditionalFormatting>
  <conditionalFormatting sqref="A98">
    <cfRule type="cellIs" dxfId="872" priority="1214" operator="equal">
      <formula>""</formula>
    </cfRule>
  </conditionalFormatting>
  <conditionalFormatting sqref="B98">
    <cfRule type="cellIs" dxfId="871" priority="1213" operator="equal">
      <formula>""</formula>
    </cfRule>
  </conditionalFormatting>
  <conditionalFormatting sqref="B98">
    <cfRule type="cellIs" dxfId="870" priority="1212" operator="equal">
      <formula>"n/a"</formula>
    </cfRule>
  </conditionalFormatting>
  <conditionalFormatting sqref="B128">
    <cfRule type="cellIs" dxfId="869" priority="1163" operator="equal">
      <formula>""</formula>
    </cfRule>
  </conditionalFormatting>
  <conditionalFormatting sqref="A104">
    <cfRule type="cellIs" dxfId="868" priority="1205" operator="equal">
      <formula>""</formula>
    </cfRule>
  </conditionalFormatting>
  <conditionalFormatting sqref="A104">
    <cfRule type="cellIs" dxfId="867" priority="1203" operator="equal">
      <formula>"Need to specify income type"</formula>
    </cfRule>
  </conditionalFormatting>
  <conditionalFormatting sqref="A104">
    <cfRule type="cellIs" dxfId="866" priority="1202" operator="equal">
      <formula>""</formula>
    </cfRule>
  </conditionalFormatting>
  <conditionalFormatting sqref="B104">
    <cfRule type="cellIs" dxfId="865" priority="1201" operator="equal">
      <formula>""</formula>
    </cfRule>
  </conditionalFormatting>
  <conditionalFormatting sqref="B104">
    <cfRule type="cellIs" dxfId="864" priority="1200" operator="equal">
      <formula>"n/a"</formula>
    </cfRule>
  </conditionalFormatting>
  <conditionalFormatting sqref="B134">
    <cfRule type="cellIs" dxfId="863" priority="1151" operator="equal">
      <formula>""</formula>
    </cfRule>
  </conditionalFormatting>
  <conditionalFormatting sqref="A116">
    <cfRule type="cellIs" dxfId="862" priority="1192" operator="equal">
      <formula>"n/a"</formula>
    </cfRule>
  </conditionalFormatting>
  <conditionalFormatting sqref="A116">
    <cfRule type="cellIs" dxfId="861" priority="1193" operator="equal">
      <formula>""</formula>
    </cfRule>
  </conditionalFormatting>
  <conditionalFormatting sqref="A116">
    <cfRule type="cellIs" dxfId="860" priority="1191" operator="equal">
      <formula>"Need to specify income type"</formula>
    </cfRule>
  </conditionalFormatting>
  <conditionalFormatting sqref="A116">
    <cfRule type="cellIs" dxfId="859" priority="1190" operator="equal">
      <formula>""</formula>
    </cfRule>
  </conditionalFormatting>
  <conditionalFormatting sqref="A122">
    <cfRule type="cellIs" dxfId="858" priority="1180" operator="equal">
      <formula>"n/a"</formula>
    </cfRule>
  </conditionalFormatting>
  <conditionalFormatting sqref="A122">
    <cfRule type="cellIs" dxfId="857" priority="1181" operator="equal">
      <formula>""</formula>
    </cfRule>
  </conditionalFormatting>
  <conditionalFormatting sqref="A122">
    <cfRule type="cellIs" dxfId="856" priority="1179" operator="equal">
      <formula>"Need to specify income type"</formula>
    </cfRule>
  </conditionalFormatting>
  <conditionalFormatting sqref="A122">
    <cfRule type="cellIs" dxfId="855" priority="1178" operator="equal">
      <formula>""</formula>
    </cfRule>
  </conditionalFormatting>
  <conditionalFormatting sqref="A128">
    <cfRule type="cellIs" dxfId="854" priority="1168" operator="equal">
      <formula>"n/a"</formula>
    </cfRule>
  </conditionalFormatting>
  <conditionalFormatting sqref="A128">
    <cfRule type="cellIs" dxfId="853" priority="1169" operator="equal">
      <formula>""</formula>
    </cfRule>
  </conditionalFormatting>
  <conditionalFormatting sqref="A128">
    <cfRule type="cellIs" dxfId="852" priority="1167" operator="equal">
      <formula>"Need to specify income type"</formula>
    </cfRule>
  </conditionalFormatting>
  <conditionalFormatting sqref="A128">
    <cfRule type="cellIs" dxfId="851" priority="1166" operator="equal">
      <formula>""</formula>
    </cfRule>
  </conditionalFormatting>
  <conditionalFormatting sqref="B128">
    <cfRule type="cellIs" dxfId="850" priority="1165" operator="equal">
      <formula>""</formula>
    </cfRule>
  </conditionalFormatting>
  <conditionalFormatting sqref="B128">
    <cfRule type="cellIs" dxfId="849" priority="1164" operator="equal">
      <formula>"n/a"</formula>
    </cfRule>
  </conditionalFormatting>
  <conditionalFormatting sqref="A134">
    <cfRule type="cellIs" dxfId="848" priority="1156" operator="equal">
      <formula>"n/a"</formula>
    </cfRule>
  </conditionalFormatting>
  <conditionalFormatting sqref="A134">
    <cfRule type="cellIs" dxfId="847" priority="1157" operator="equal">
      <formula>""</formula>
    </cfRule>
  </conditionalFormatting>
  <conditionalFormatting sqref="A134">
    <cfRule type="cellIs" dxfId="846" priority="1155" operator="equal">
      <formula>"Need to specify income type"</formula>
    </cfRule>
  </conditionalFormatting>
  <conditionalFormatting sqref="A134">
    <cfRule type="cellIs" dxfId="845" priority="1154" operator="equal">
      <formula>""</formula>
    </cfRule>
  </conditionalFormatting>
  <conditionalFormatting sqref="B134">
    <cfRule type="cellIs" dxfId="844" priority="1153" operator="equal">
      <formula>""</formula>
    </cfRule>
  </conditionalFormatting>
  <conditionalFormatting sqref="B134">
    <cfRule type="cellIs" dxfId="843" priority="1152" operator="equal">
      <formula>"n/a"</formula>
    </cfRule>
  </conditionalFormatting>
  <conditionalFormatting sqref="A146">
    <cfRule type="cellIs" dxfId="842" priority="1144" operator="equal">
      <formula>"n/a"</formula>
    </cfRule>
  </conditionalFormatting>
  <conditionalFormatting sqref="A146">
    <cfRule type="cellIs" dxfId="841" priority="1145" operator="equal">
      <formula>""</formula>
    </cfRule>
  </conditionalFormatting>
  <conditionalFormatting sqref="A146">
    <cfRule type="cellIs" dxfId="840" priority="1143" operator="equal">
      <formula>"Need to specify income type"</formula>
    </cfRule>
  </conditionalFormatting>
  <conditionalFormatting sqref="A146">
    <cfRule type="cellIs" dxfId="839" priority="1142" operator="equal">
      <formula>""</formula>
    </cfRule>
  </conditionalFormatting>
  <conditionalFormatting sqref="A152">
    <cfRule type="cellIs" dxfId="838" priority="1132" operator="equal">
      <formula>"n/a"</formula>
    </cfRule>
  </conditionalFormatting>
  <conditionalFormatting sqref="A152">
    <cfRule type="cellIs" dxfId="837" priority="1133" operator="equal">
      <formula>""</formula>
    </cfRule>
  </conditionalFormatting>
  <conditionalFormatting sqref="A152">
    <cfRule type="cellIs" dxfId="836" priority="1131" operator="equal">
      <formula>"Need to specify income type"</formula>
    </cfRule>
  </conditionalFormatting>
  <conditionalFormatting sqref="A152">
    <cfRule type="cellIs" dxfId="835" priority="1130" operator="equal">
      <formula>""</formula>
    </cfRule>
  </conditionalFormatting>
  <conditionalFormatting sqref="A158">
    <cfRule type="cellIs" dxfId="834" priority="1120" operator="equal">
      <formula>"n/a"</formula>
    </cfRule>
  </conditionalFormatting>
  <conditionalFormatting sqref="A158">
    <cfRule type="cellIs" dxfId="833" priority="1121" operator="equal">
      <formula>""</formula>
    </cfRule>
  </conditionalFormatting>
  <conditionalFormatting sqref="A158">
    <cfRule type="cellIs" dxfId="832" priority="1119" operator="equal">
      <formula>"Need to specify income type"</formula>
    </cfRule>
  </conditionalFormatting>
  <conditionalFormatting sqref="A158">
    <cfRule type="cellIs" dxfId="831" priority="1118" operator="equal">
      <formula>""</formula>
    </cfRule>
  </conditionalFormatting>
  <conditionalFormatting sqref="B164">
    <cfRule type="cellIs" dxfId="830" priority="1103" operator="equal">
      <formula>""</formula>
    </cfRule>
  </conditionalFormatting>
  <conditionalFormatting sqref="A164">
    <cfRule type="cellIs" dxfId="829" priority="1108" operator="equal">
      <formula>"n/a"</formula>
    </cfRule>
  </conditionalFormatting>
  <conditionalFormatting sqref="A164">
    <cfRule type="cellIs" dxfId="828" priority="1109" operator="equal">
      <formula>""</formula>
    </cfRule>
  </conditionalFormatting>
  <conditionalFormatting sqref="A164">
    <cfRule type="cellIs" dxfId="827" priority="1107" operator="equal">
      <formula>"Need to specify income type"</formula>
    </cfRule>
  </conditionalFormatting>
  <conditionalFormatting sqref="A164">
    <cfRule type="cellIs" dxfId="826" priority="1106" operator="equal">
      <formula>""</formula>
    </cfRule>
  </conditionalFormatting>
  <conditionalFormatting sqref="B164">
    <cfRule type="cellIs" dxfId="825" priority="1104" operator="equal">
      <formula>"n/a"</formula>
    </cfRule>
  </conditionalFormatting>
  <conditionalFormatting sqref="B272:C276">
    <cfRule type="cellIs" dxfId="824" priority="1040" operator="equal">
      <formula>""</formula>
    </cfRule>
  </conditionalFormatting>
  <conditionalFormatting sqref="D272:D276">
    <cfRule type="cellIs" dxfId="823" priority="1037" operator="equal">
      <formula>""</formula>
    </cfRule>
  </conditionalFormatting>
  <conditionalFormatting sqref="B73">
    <cfRule type="cellIs" dxfId="822" priority="1020" operator="equal">
      <formula>"n/a"</formula>
    </cfRule>
  </conditionalFormatting>
  <conditionalFormatting sqref="B73">
    <cfRule type="cellIs" dxfId="821" priority="1019" operator="equal">
      <formula>""</formula>
    </cfRule>
  </conditionalFormatting>
  <conditionalFormatting sqref="B97">
    <cfRule type="cellIs" dxfId="820" priority="1014" operator="equal">
      <formula>"n/a"</formula>
    </cfRule>
  </conditionalFormatting>
  <conditionalFormatting sqref="B97">
    <cfRule type="cellIs" dxfId="819" priority="1013" operator="equal">
      <formula>""</formula>
    </cfRule>
  </conditionalFormatting>
  <conditionalFormatting sqref="B103">
    <cfRule type="cellIs" dxfId="818" priority="1012" operator="equal">
      <formula>"n/a"</formula>
    </cfRule>
  </conditionalFormatting>
  <conditionalFormatting sqref="B103">
    <cfRule type="cellIs" dxfId="817" priority="1011" operator="equal">
      <formula>""</formula>
    </cfRule>
  </conditionalFormatting>
  <conditionalFormatting sqref="B127">
    <cfRule type="cellIs" dxfId="816" priority="1006" operator="equal">
      <formula>"n/a"</formula>
    </cfRule>
  </conditionalFormatting>
  <conditionalFormatting sqref="B127">
    <cfRule type="cellIs" dxfId="815" priority="1005" operator="equal">
      <formula>""</formula>
    </cfRule>
  </conditionalFormatting>
  <conditionalFormatting sqref="B157">
    <cfRule type="cellIs" dxfId="814" priority="998" operator="equal">
      <formula>"n/a"</formula>
    </cfRule>
  </conditionalFormatting>
  <conditionalFormatting sqref="B157">
    <cfRule type="cellIs" dxfId="813" priority="997" operator="equal">
      <formula>""</formula>
    </cfRule>
  </conditionalFormatting>
  <conditionalFormatting sqref="B163">
    <cfRule type="cellIs" dxfId="812" priority="996" operator="equal">
      <formula>"n/a"</formula>
    </cfRule>
  </conditionalFormatting>
  <conditionalFormatting sqref="B163">
    <cfRule type="cellIs" dxfId="811" priority="995" operator="equal">
      <formula>""</formula>
    </cfRule>
  </conditionalFormatting>
  <conditionalFormatting sqref="B22">
    <cfRule type="cellIs" dxfId="810" priority="581" operator="equal">
      <formula>"n/a"</formula>
    </cfRule>
  </conditionalFormatting>
  <conditionalFormatting sqref="A33">
    <cfRule type="cellIs" dxfId="809" priority="693" operator="equal">
      <formula>"n/a"</formula>
    </cfRule>
  </conditionalFormatting>
  <conditionalFormatting sqref="A35:B37 A33 C33">
    <cfRule type="cellIs" dxfId="808" priority="692" operator="equal">
      <formula>""</formula>
    </cfRule>
  </conditionalFormatting>
  <conditionalFormatting sqref="D61">
    <cfRule type="cellIs" dxfId="807" priority="989" operator="equal">
      <formula>"n/a"</formula>
    </cfRule>
  </conditionalFormatting>
  <conditionalFormatting sqref="D61">
    <cfRule type="cellIs" dxfId="806" priority="988" operator="equal">
      <formula>""</formula>
    </cfRule>
  </conditionalFormatting>
  <conditionalFormatting sqref="D67">
    <cfRule type="cellIs" dxfId="805" priority="987" operator="equal">
      <formula>"n/a"</formula>
    </cfRule>
  </conditionalFormatting>
  <conditionalFormatting sqref="D67">
    <cfRule type="cellIs" dxfId="804" priority="986" operator="equal">
      <formula>""</formula>
    </cfRule>
  </conditionalFormatting>
  <conditionalFormatting sqref="D73">
    <cfRule type="cellIs" dxfId="803" priority="985" operator="equal">
      <formula>"n/a"</formula>
    </cfRule>
  </conditionalFormatting>
  <conditionalFormatting sqref="D73">
    <cfRule type="cellIs" dxfId="802" priority="984" operator="equal">
      <formula>""</formula>
    </cfRule>
  </conditionalFormatting>
  <conditionalFormatting sqref="D85">
    <cfRule type="cellIs" dxfId="801" priority="983" operator="equal">
      <formula>"n/a"</formula>
    </cfRule>
  </conditionalFormatting>
  <conditionalFormatting sqref="D85">
    <cfRule type="cellIs" dxfId="800" priority="982" operator="equal">
      <formula>""</formula>
    </cfRule>
  </conditionalFormatting>
  <conditionalFormatting sqref="D91">
    <cfRule type="cellIs" dxfId="799" priority="981" operator="equal">
      <formula>"n/a"</formula>
    </cfRule>
  </conditionalFormatting>
  <conditionalFormatting sqref="D91">
    <cfRule type="cellIs" dxfId="798" priority="980" operator="equal">
      <formula>""</formula>
    </cfRule>
  </conditionalFormatting>
  <conditionalFormatting sqref="D97">
    <cfRule type="cellIs" dxfId="797" priority="979" operator="equal">
      <formula>"n/a"</formula>
    </cfRule>
  </conditionalFormatting>
  <conditionalFormatting sqref="D97">
    <cfRule type="cellIs" dxfId="796" priority="978" operator="equal">
      <formula>""</formula>
    </cfRule>
  </conditionalFormatting>
  <conditionalFormatting sqref="D103">
    <cfRule type="cellIs" dxfId="795" priority="977" operator="equal">
      <formula>"n/a"</formula>
    </cfRule>
  </conditionalFormatting>
  <conditionalFormatting sqref="D103">
    <cfRule type="cellIs" dxfId="794" priority="976" operator="equal">
      <formula>""</formula>
    </cfRule>
  </conditionalFormatting>
  <conditionalFormatting sqref="D115">
    <cfRule type="cellIs" dxfId="793" priority="975" operator="equal">
      <formula>"n/a"</formula>
    </cfRule>
  </conditionalFormatting>
  <conditionalFormatting sqref="D115">
    <cfRule type="cellIs" dxfId="792" priority="974" operator="equal">
      <formula>""</formula>
    </cfRule>
  </conditionalFormatting>
  <conditionalFormatting sqref="D121">
    <cfRule type="cellIs" dxfId="791" priority="973" operator="equal">
      <formula>"n/a"</formula>
    </cfRule>
  </conditionalFormatting>
  <conditionalFormatting sqref="D121">
    <cfRule type="cellIs" dxfId="790" priority="972" operator="equal">
      <formula>""</formula>
    </cfRule>
  </conditionalFormatting>
  <conditionalFormatting sqref="D127">
    <cfRule type="cellIs" dxfId="789" priority="971" operator="equal">
      <formula>"n/a"</formula>
    </cfRule>
  </conditionalFormatting>
  <conditionalFormatting sqref="D127">
    <cfRule type="cellIs" dxfId="788" priority="970" operator="equal">
      <formula>""</formula>
    </cfRule>
  </conditionalFormatting>
  <conditionalFormatting sqref="D133">
    <cfRule type="cellIs" dxfId="787" priority="969" operator="equal">
      <formula>"n/a"</formula>
    </cfRule>
  </conditionalFormatting>
  <conditionalFormatting sqref="D133">
    <cfRule type="cellIs" dxfId="786" priority="968" operator="equal">
      <formula>""</formula>
    </cfRule>
  </conditionalFormatting>
  <conditionalFormatting sqref="D145">
    <cfRule type="cellIs" dxfId="785" priority="967" operator="equal">
      <formula>"n/a"</formula>
    </cfRule>
  </conditionalFormatting>
  <conditionalFormatting sqref="D145">
    <cfRule type="cellIs" dxfId="784" priority="966" operator="equal">
      <formula>""</formula>
    </cfRule>
  </conditionalFormatting>
  <conditionalFormatting sqref="D151">
    <cfRule type="cellIs" dxfId="783" priority="965" operator="equal">
      <formula>"n/a"</formula>
    </cfRule>
  </conditionalFormatting>
  <conditionalFormatting sqref="D151">
    <cfRule type="cellIs" dxfId="782" priority="964" operator="equal">
      <formula>""</formula>
    </cfRule>
  </conditionalFormatting>
  <conditionalFormatting sqref="D157">
    <cfRule type="cellIs" dxfId="781" priority="963" operator="equal">
      <formula>"n/a"</formula>
    </cfRule>
  </conditionalFormatting>
  <conditionalFormatting sqref="D157">
    <cfRule type="cellIs" dxfId="780" priority="962" operator="equal">
      <formula>""</formula>
    </cfRule>
  </conditionalFormatting>
  <conditionalFormatting sqref="D163">
    <cfRule type="cellIs" dxfId="779" priority="961" operator="equal">
      <formula>"n/a"</formula>
    </cfRule>
  </conditionalFormatting>
  <conditionalFormatting sqref="D163">
    <cfRule type="cellIs" dxfId="778" priority="960" operator="equal">
      <formula>""</formula>
    </cfRule>
  </conditionalFormatting>
  <conditionalFormatting sqref="A269">
    <cfRule type="cellIs" dxfId="777" priority="959" operator="equal">
      <formula>""</formula>
    </cfRule>
  </conditionalFormatting>
  <conditionalFormatting sqref="B263:C267">
    <cfRule type="cellIs" dxfId="776" priority="956" operator="equal">
      <formula>""</formula>
    </cfRule>
  </conditionalFormatting>
  <conditionalFormatting sqref="D263:D267">
    <cfRule type="cellIs" dxfId="775" priority="953" operator="equal">
      <formula>""</formula>
    </cfRule>
  </conditionalFormatting>
  <conditionalFormatting sqref="A261">
    <cfRule type="cellIs" dxfId="774" priority="950" operator="equal">
      <formula>""</formula>
    </cfRule>
  </conditionalFormatting>
  <conditionalFormatting sqref="C22">
    <cfRule type="cellIs" dxfId="773" priority="588" operator="equal">
      <formula>"n/a"</formula>
    </cfRule>
  </conditionalFormatting>
  <conditionalFormatting sqref="C22">
    <cfRule type="cellIs" dxfId="772" priority="587" operator="equal">
      <formula>""</formula>
    </cfRule>
  </conditionalFormatting>
  <conditionalFormatting sqref="A28">
    <cfRule type="cellIs" dxfId="771" priority="629" operator="equal">
      <formula>"n/a"</formula>
    </cfRule>
  </conditionalFormatting>
  <conditionalFormatting sqref="B244">
    <cfRule type="cellIs" dxfId="770" priority="887" operator="equal">
      <formula>""</formula>
    </cfRule>
  </conditionalFormatting>
  <conditionalFormatting sqref="B244">
    <cfRule type="cellIs" dxfId="769" priority="886" operator="equal">
      <formula>"n/a"</formula>
    </cfRule>
  </conditionalFormatting>
  <conditionalFormatting sqref="B244">
    <cfRule type="cellIs" dxfId="768" priority="885" operator="equal">
      <formula>""</formula>
    </cfRule>
  </conditionalFormatting>
  <conditionalFormatting sqref="B243">
    <cfRule type="cellIs" dxfId="767" priority="884" operator="equal">
      <formula>""</formula>
    </cfRule>
  </conditionalFormatting>
  <conditionalFormatting sqref="B243">
    <cfRule type="cellIs" dxfId="766" priority="883" operator="equal">
      <formula>"n/a"</formula>
    </cfRule>
  </conditionalFormatting>
  <conditionalFormatting sqref="B243">
    <cfRule type="cellIs" dxfId="765" priority="882" operator="equal">
      <formula>""</formula>
    </cfRule>
  </conditionalFormatting>
  <conditionalFormatting sqref="B245">
    <cfRule type="cellIs" dxfId="764" priority="881" operator="equal">
      <formula>""</formula>
    </cfRule>
  </conditionalFormatting>
  <conditionalFormatting sqref="B245">
    <cfRule type="cellIs" dxfId="763" priority="880" operator="equal">
      <formula>"n/a"</formula>
    </cfRule>
  </conditionalFormatting>
  <conditionalFormatting sqref="B245">
    <cfRule type="cellIs" dxfId="762" priority="879" operator="equal">
      <formula>""</formula>
    </cfRule>
  </conditionalFormatting>
  <conditionalFormatting sqref="B246:B248">
    <cfRule type="cellIs" dxfId="761" priority="878" operator="equal">
      <formula>""</formula>
    </cfRule>
  </conditionalFormatting>
  <conditionalFormatting sqref="B246:B248">
    <cfRule type="cellIs" dxfId="760" priority="877" operator="equal">
      <formula>"n/a"</formula>
    </cfRule>
  </conditionalFormatting>
  <conditionalFormatting sqref="B246:B248">
    <cfRule type="cellIs" dxfId="759" priority="876" operator="equal">
      <formula>""</formula>
    </cfRule>
  </conditionalFormatting>
  <conditionalFormatting sqref="D245:D246">
    <cfRule type="cellIs" dxfId="758" priority="875" operator="equal">
      <formula>""</formula>
    </cfRule>
  </conditionalFormatting>
  <conditionalFormatting sqref="D245:D246">
    <cfRule type="cellIs" dxfId="757" priority="874" operator="equal">
      <formula>"n/a"</formula>
    </cfRule>
  </conditionalFormatting>
  <conditionalFormatting sqref="D245:D246">
    <cfRule type="cellIs" dxfId="756" priority="873" operator="equal">
      <formula>""</formula>
    </cfRule>
  </conditionalFormatting>
  <conditionalFormatting sqref="D247">
    <cfRule type="cellIs" dxfId="755" priority="869" operator="equal">
      <formula>""</formula>
    </cfRule>
  </conditionalFormatting>
  <conditionalFormatting sqref="D247">
    <cfRule type="cellIs" dxfId="754" priority="868" operator="equal">
      <formula>"n/a"</formula>
    </cfRule>
  </conditionalFormatting>
  <conditionalFormatting sqref="D247">
    <cfRule type="cellIs" dxfId="753" priority="867" operator="equal">
      <formula>""</formula>
    </cfRule>
  </conditionalFormatting>
  <conditionalFormatting sqref="B6">
    <cfRule type="cellIs" dxfId="752" priority="866" operator="equal">
      <formula>""</formula>
    </cfRule>
  </conditionalFormatting>
  <conditionalFormatting sqref="B6">
    <cfRule type="cellIs" dxfId="751" priority="865" operator="equal">
      <formula>"n/a"</formula>
    </cfRule>
  </conditionalFormatting>
  <conditionalFormatting sqref="B6">
    <cfRule type="cellIs" dxfId="750" priority="864" operator="equal">
      <formula>""</formula>
    </cfRule>
  </conditionalFormatting>
  <conditionalFormatting sqref="B7">
    <cfRule type="cellIs" dxfId="749" priority="863" operator="equal">
      <formula>""</formula>
    </cfRule>
  </conditionalFormatting>
  <conditionalFormatting sqref="B7">
    <cfRule type="cellIs" dxfId="748" priority="862" operator="equal">
      <formula>"n/a"</formula>
    </cfRule>
  </conditionalFormatting>
  <conditionalFormatting sqref="B7">
    <cfRule type="cellIs" dxfId="747" priority="861" operator="equal">
      <formula>""</formula>
    </cfRule>
  </conditionalFormatting>
  <conditionalFormatting sqref="B8:B11 B13">
    <cfRule type="cellIs" dxfId="746" priority="860" operator="equal">
      <formula>""</formula>
    </cfRule>
  </conditionalFormatting>
  <conditionalFormatting sqref="B8:B11 B13">
    <cfRule type="cellIs" dxfId="745" priority="859" operator="equal">
      <formula>"n/a"</formula>
    </cfRule>
  </conditionalFormatting>
  <conditionalFormatting sqref="B8:B11 B13">
    <cfRule type="cellIs" dxfId="744" priority="858" operator="equal">
      <formula>""</formula>
    </cfRule>
  </conditionalFormatting>
  <conditionalFormatting sqref="B14">
    <cfRule type="cellIs" dxfId="743" priority="857" operator="equal">
      <formula>""</formula>
    </cfRule>
  </conditionalFormatting>
  <conditionalFormatting sqref="B14">
    <cfRule type="cellIs" dxfId="742" priority="856" operator="equal">
      <formula>"n/a"</formula>
    </cfRule>
  </conditionalFormatting>
  <conditionalFormatting sqref="B14">
    <cfRule type="cellIs" dxfId="741" priority="855" operator="equal">
      <formula>""</formula>
    </cfRule>
  </conditionalFormatting>
  <conditionalFormatting sqref="D6:D11">
    <cfRule type="cellIs" dxfId="740" priority="851" operator="equal">
      <formula>""</formula>
    </cfRule>
  </conditionalFormatting>
  <conditionalFormatting sqref="D6:D11">
    <cfRule type="cellIs" dxfId="739" priority="850" operator="equal">
      <formula>"n/a"</formula>
    </cfRule>
  </conditionalFormatting>
  <conditionalFormatting sqref="D6:D11">
    <cfRule type="cellIs" dxfId="738" priority="849" operator="equal">
      <formula>""</formula>
    </cfRule>
  </conditionalFormatting>
  <conditionalFormatting sqref="C23">
    <cfRule type="cellIs" dxfId="737" priority="598" operator="equal">
      <formula>""</formula>
    </cfRule>
  </conditionalFormatting>
  <conditionalFormatting sqref="D45">
    <cfRule type="cellIs" dxfId="736" priority="811" operator="equal">
      <formula>""</formula>
    </cfRule>
  </conditionalFormatting>
  <conditionalFormatting sqref="D45">
    <cfRule type="cellIs" dxfId="735" priority="810" operator="equal">
      <formula>"n/a"</formula>
    </cfRule>
  </conditionalFormatting>
  <conditionalFormatting sqref="D45">
    <cfRule type="cellIs" dxfId="734" priority="809" operator="equal">
      <formula>""</formula>
    </cfRule>
  </conditionalFormatting>
  <conditionalFormatting sqref="B45">
    <cfRule type="cellIs" dxfId="733" priority="808" operator="equal">
      <formula>""</formula>
    </cfRule>
  </conditionalFormatting>
  <conditionalFormatting sqref="B45">
    <cfRule type="cellIs" dxfId="732" priority="807" operator="equal">
      <formula>"n/a"</formula>
    </cfRule>
  </conditionalFormatting>
  <conditionalFormatting sqref="B45">
    <cfRule type="cellIs" dxfId="731" priority="806" operator="equal">
      <formula>""</formula>
    </cfRule>
  </conditionalFormatting>
  <conditionalFormatting sqref="C55">
    <cfRule type="cellIs" dxfId="730" priority="784" operator="equal">
      <formula>""</formula>
    </cfRule>
  </conditionalFormatting>
  <conditionalFormatting sqref="C55">
    <cfRule type="cellIs" dxfId="729" priority="783" operator="equal">
      <formula>"n/a"</formula>
    </cfRule>
  </conditionalFormatting>
  <conditionalFormatting sqref="A57:A59">
    <cfRule type="cellIs" dxfId="728" priority="793" operator="equal">
      <formula>""</formula>
    </cfRule>
  </conditionalFormatting>
  <conditionalFormatting sqref="B59">
    <cfRule type="cellIs" dxfId="727" priority="791" operator="equal">
      <formula>"n/a"</formula>
    </cfRule>
    <cfRule type="cellIs" dxfId="726" priority="792" operator="equal">
      <formula>""</formula>
    </cfRule>
  </conditionalFormatting>
  <conditionalFormatting sqref="A57:A59">
    <cfRule type="cellIs" dxfId="725" priority="790" operator="equal">
      <formula>"n/a"</formula>
    </cfRule>
  </conditionalFormatting>
  <conditionalFormatting sqref="A59">
    <cfRule type="cellIs" dxfId="724" priority="789" operator="equal">
      <formula>"Need to specify income type"</formula>
    </cfRule>
  </conditionalFormatting>
  <conditionalFormatting sqref="B59">
    <cfRule type="cellIs" dxfId="723" priority="785" operator="equal">
      <formula>"n/a"</formula>
    </cfRule>
    <cfRule type="cellIs" dxfId="722" priority="786" operator="equal">
      <formula>""</formula>
    </cfRule>
  </conditionalFormatting>
  <conditionalFormatting sqref="A55">
    <cfRule type="cellIs" dxfId="721" priority="781" operator="equal">
      <formula>"n/a"</formula>
    </cfRule>
  </conditionalFormatting>
  <conditionalFormatting sqref="A55">
    <cfRule type="cellIs" dxfId="720" priority="782" operator="equal">
      <formula>""</formula>
    </cfRule>
  </conditionalFormatting>
  <conditionalFormatting sqref="A59:B59 A55 C55 A57:A58">
    <cfRule type="cellIs" dxfId="719" priority="780" operator="equal">
      <formula>""</formula>
    </cfRule>
  </conditionalFormatting>
  <conditionalFormatting sqref="D57">
    <cfRule type="cellIs" dxfId="718" priority="773" operator="equal">
      <formula>""</formula>
    </cfRule>
  </conditionalFormatting>
  <conditionalFormatting sqref="C58">
    <cfRule type="cellIs" dxfId="717" priority="771" operator="equal">
      <formula>"n/a"</formula>
    </cfRule>
  </conditionalFormatting>
  <conditionalFormatting sqref="C58">
    <cfRule type="cellIs" dxfId="716" priority="772" operator="equal">
      <formula>""</formula>
    </cfRule>
  </conditionalFormatting>
  <conditionalFormatting sqref="C58">
    <cfRule type="cellIs" dxfId="715" priority="770" operator="equal">
      <formula>"Need to specify income type"</formula>
    </cfRule>
  </conditionalFormatting>
  <conditionalFormatting sqref="C58">
    <cfRule type="cellIs" dxfId="714" priority="769" operator="equal">
      <formula>""</formula>
    </cfRule>
  </conditionalFormatting>
  <conditionalFormatting sqref="D58">
    <cfRule type="cellIs" dxfId="713" priority="768" operator="equal">
      <formula>""</formula>
    </cfRule>
  </conditionalFormatting>
  <conditionalFormatting sqref="D58">
    <cfRule type="cellIs" dxfId="712" priority="767" operator="equal">
      <formula>"n/a"</formula>
    </cfRule>
  </conditionalFormatting>
  <conditionalFormatting sqref="D58">
    <cfRule type="cellIs" dxfId="711" priority="766" operator="equal">
      <formula>""</formula>
    </cfRule>
  </conditionalFormatting>
  <conditionalFormatting sqref="A56">
    <cfRule type="cellIs" dxfId="710" priority="761" operator="equal">
      <formula>"n/a"</formula>
    </cfRule>
  </conditionalFormatting>
  <conditionalFormatting sqref="A56">
    <cfRule type="cellIs" dxfId="709" priority="762" operator="equal">
      <formula>""</formula>
    </cfRule>
  </conditionalFormatting>
  <conditionalFormatting sqref="A56">
    <cfRule type="cellIs" dxfId="708" priority="760" operator="equal">
      <formula>"Need to specify income type"</formula>
    </cfRule>
  </conditionalFormatting>
  <conditionalFormatting sqref="A56">
    <cfRule type="cellIs" dxfId="707" priority="759" operator="equal">
      <formula>""</formula>
    </cfRule>
  </conditionalFormatting>
  <conditionalFormatting sqref="D55">
    <cfRule type="cellIs" dxfId="706" priority="753" operator="equal">
      <formula>"n/a"</formula>
    </cfRule>
  </conditionalFormatting>
  <conditionalFormatting sqref="D55">
    <cfRule type="cellIs" dxfId="705" priority="752" operator="equal">
      <formula>""</formula>
    </cfRule>
  </conditionalFormatting>
  <conditionalFormatting sqref="C39">
    <cfRule type="cellIs" dxfId="704" priority="740" operator="equal">
      <formula>""</formula>
    </cfRule>
  </conditionalFormatting>
  <conditionalFormatting sqref="C39">
    <cfRule type="cellIs" dxfId="703" priority="739" operator="equal">
      <formula>"n/a"</formula>
    </cfRule>
  </conditionalFormatting>
  <conditionalFormatting sqref="A41:A43">
    <cfRule type="cellIs" dxfId="702" priority="749" operator="equal">
      <formula>""</formula>
    </cfRule>
  </conditionalFormatting>
  <conditionalFormatting sqref="B43">
    <cfRule type="cellIs" dxfId="701" priority="747" operator="equal">
      <formula>"n/a"</formula>
    </cfRule>
    <cfRule type="cellIs" dxfId="700" priority="748" operator="equal">
      <formula>""</formula>
    </cfRule>
  </conditionalFormatting>
  <conditionalFormatting sqref="A41:A43">
    <cfRule type="cellIs" dxfId="699" priority="746" operator="equal">
      <formula>"n/a"</formula>
    </cfRule>
  </conditionalFormatting>
  <conditionalFormatting sqref="A43">
    <cfRule type="cellIs" dxfId="698" priority="745" operator="equal">
      <formula>"Need to specify income type"</formula>
    </cfRule>
  </conditionalFormatting>
  <conditionalFormatting sqref="B41">
    <cfRule type="cellIs" dxfId="697" priority="743" operator="equal">
      <formula>"n/a"</formula>
    </cfRule>
    <cfRule type="cellIs" dxfId="696" priority="744" operator="equal">
      <formula>""</formula>
    </cfRule>
  </conditionalFormatting>
  <conditionalFormatting sqref="B42:B43">
    <cfRule type="cellIs" dxfId="695" priority="741" operator="equal">
      <formula>"n/a"</formula>
    </cfRule>
    <cfRule type="cellIs" dxfId="694" priority="742" operator="equal">
      <formula>""</formula>
    </cfRule>
  </conditionalFormatting>
  <conditionalFormatting sqref="A39">
    <cfRule type="cellIs" dxfId="693" priority="737" operator="equal">
      <formula>"n/a"</formula>
    </cfRule>
  </conditionalFormatting>
  <conditionalFormatting sqref="A39">
    <cfRule type="cellIs" dxfId="692" priority="738" operator="equal">
      <formula>""</formula>
    </cfRule>
  </conditionalFormatting>
  <conditionalFormatting sqref="A41:B43 A39 C39">
    <cfRule type="cellIs" dxfId="691" priority="736" operator="equal">
      <formula>""</formula>
    </cfRule>
  </conditionalFormatting>
  <conditionalFormatting sqref="D41">
    <cfRule type="cellIs" dxfId="690" priority="729" operator="equal">
      <formula>""</formula>
    </cfRule>
  </conditionalFormatting>
  <conditionalFormatting sqref="C42">
    <cfRule type="cellIs" dxfId="689" priority="727" operator="equal">
      <formula>"n/a"</formula>
    </cfRule>
  </conditionalFormatting>
  <conditionalFormatting sqref="C42">
    <cfRule type="cellIs" dxfId="688" priority="728" operator="equal">
      <formula>""</formula>
    </cfRule>
  </conditionalFormatting>
  <conditionalFormatting sqref="C42">
    <cfRule type="cellIs" dxfId="687" priority="726" operator="equal">
      <formula>"Need to specify income type"</formula>
    </cfRule>
  </conditionalFormatting>
  <conditionalFormatting sqref="C42">
    <cfRule type="cellIs" dxfId="686" priority="725" operator="equal">
      <formula>""</formula>
    </cfRule>
  </conditionalFormatting>
  <conditionalFormatting sqref="D42">
    <cfRule type="cellIs" dxfId="685" priority="724" operator="equal">
      <formula>""</formula>
    </cfRule>
  </conditionalFormatting>
  <conditionalFormatting sqref="D42">
    <cfRule type="cellIs" dxfId="684" priority="723" operator="equal">
      <formula>"n/a"</formula>
    </cfRule>
  </conditionalFormatting>
  <conditionalFormatting sqref="D42">
    <cfRule type="cellIs" dxfId="683" priority="722" operator="equal">
      <formula>""</formula>
    </cfRule>
  </conditionalFormatting>
  <conditionalFormatting sqref="B40">
    <cfRule type="cellIs" dxfId="682" priority="712" operator="equal">
      <formula>""</formula>
    </cfRule>
  </conditionalFormatting>
  <conditionalFormatting sqref="A40">
    <cfRule type="cellIs" dxfId="681" priority="717" operator="equal">
      <formula>"n/a"</formula>
    </cfRule>
  </conditionalFormatting>
  <conditionalFormatting sqref="A40">
    <cfRule type="cellIs" dxfId="680" priority="718" operator="equal">
      <formula>""</formula>
    </cfRule>
  </conditionalFormatting>
  <conditionalFormatting sqref="A40">
    <cfRule type="cellIs" dxfId="679" priority="716" operator="equal">
      <formula>"Need to specify income type"</formula>
    </cfRule>
  </conditionalFormatting>
  <conditionalFormatting sqref="A40">
    <cfRule type="cellIs" dxfId="678" priority="715" operator="equal">
      <formula>""</formula>
    </cfRule>
  </conditionalFormatting>
  <conditionalFormatting sqref="B40">
    <cfRule type="cellIs" dxfId="677" priority="714" operator="equal">
      <formula>""</formula>
    </cfRule>
  </conditionalFormatting>
  <conditionalFormatting sqref="B40">
    <cfRule type="cellIs" dxfId="676" priority="713" operator="equal">
      <formula>"n/a"</formula>
    </cfRule>
  </conditionalFormatting>
  <conditionalFormatting sqref="B39">
    <cfRule type="cellIs" dxfId="675" priority="711" operator="equal">
      <formula>"n/a"</formula>
    </cfRule>
  </conditionalFormatting>
  <conditionalFormatting sqref="B39">
    <cfRule type="cellIs" dxfId="674" priority="710" operator="equal">
      <formula>""</formula>
    </cfRule>
  </conditionalFormatting>
  <conditionalFormatting sqref="D39">
    <cfRule type="cellIs" dxfId="673" priority="709" operator="equal">
      <formula>"n/a"</formula>
    </cfRule>
  </conditionalFormatting>
  <conditionalFormatting sqref="D39">
    <cfRule type="cellIs" dxfId="672" priority="708" operator="equal">
      <formula>""</formula>
    </cfRule>
  </conditionalFormatting>
  <conditionalFormatting sqref="A34">
    <cfRule type="cellIs" dxfId="671" priority="673" operator="equal">
      <formula>"n/a"</formula>
    </cfRule>
  </conditionalFormatting>
  <conditionalFormatting sqref="C33">
    <cfRule type="cellIs" dxfId="670" priority="696" operator="equal">
      <formula>""</formula>
    </cfRule>
  </conditionalFormatting>
  <conditionalFormatting sqref="C33">
    <cfRule type="cellIs" dxfId="669" priority="695" operator="equal">
      <formula>"n/a"</formula>
    </cfRule>
  </conditionalFormatting>
  <conditionalFormatting sqref="A35:A37">
    <cfRule type="cellIs" dxfId="668" priority="705" operator="equal">
      <formula>""</formula>
    </cfRule>
  </conditionalFormatting>
  <conditionalFormatting sqref="B37">
    <cfRule type="cellIs" dxfId="667" priority="703" operator="equal">
      <formula>"n/a"</formula>
    </cfRule>
    <cfRule type="cellIs" dxfId="666" priority="704" operator="equal">
      <formula>""</formula>
    </cfRule>
  </conditionalFormatting>
  <conditionalFormatting sqref="A35:A37">
    <cfRule type="cellIs" dxfId="665" priority="702" operator="equal">
      <formula>"n/a"</formula>
    </cfRule>
  </conditionalFormatting>
  <conditionalFormatting sqref="A37">
    <cfRule type="cellIs" dxfId="664" priority="701" operator="equal">
      <formula>"Need to specify income type"</formula>
    </cfRule>
  </conditionalFormatting>
  <conditionalFormatting sqref="B35">
    <cfRule type="cellIs" dxfId="663" priority="699" operator="equal">
      <formula>"n/a"</formula>
    </cfRule>
    <cfRule type="cellIs" dxfId="662" priority="700" operator="equal">
      <formula>""</formula>
    </cfRule>
  </conditionalFormatting>
  <conditionalFormatting sqref="B36:B37">
    <cfRule type="cellIs" dxfId="661" priority="697" operator="equal">
      <formula>"n/a"</formula>
    </cfRule>
    <cfRule type="cellIs" dxfId="660" priority="698" operator="equal">
      <formula>""</formula>
    </cfRule>
  </conditionalFormatting>
  <conditionalFormatting sqref="A33">
    <cfRule type="cellIs" dxfId="659" priority="694" operator="equal">
      <formula>""</formula>
    </cfRule>
  </conditionalFormatting>
  <conditionalFormatting sqref="D35">
    <cfRule type="cellIs" dxfId="658" priority="685" operator="equal">
      <formula>""</formula>
    </cfRule>
  </conditionalFormatting>
  <conditionalFormatting sqref="C36">
    <cfRule type="cellIs" dxfId="657" priority="683" operator="equal">
      <formula>"n/a"</formula>
    </cfRule>
  </conditionalFormatting>
  <conditionalFormatting sqref="C36">
    <cfRule type="cellIs" dxfId="656" priority="684" operator="equal">
      <formula>""</formula>
    </cfRule>
  </conditionalFormatting>
  <conditionalFormatting sqref="C36">
    <cfRule type="cellIs" dxfId="655" priority="682" operator="equal">
      <formula>"Need to specify income type"</formula>
    </cfRule>
  </conditionalFormatting>
  <conditionalFormatting sqref="C36">
    <cfRule type="cellIs" dxfId="654" priority="681" operator="equal">
      <formula>""</formula>
    </cfRule>
  </conditionalFormatting>
  <conditionalFormatting sqref="D36">
    <cfRule type="cellIs" dxfId="653" priority="680" operator="equal">
      <formula>""</formula>
    </cfRule>
  </conditionalFormatting>
  <conditionalFormatting sqref="D36">
    <cfRule type="cellIs" dxfId="652" priority="679" operator="equal">
      <formula>"n/a"</formula>
    </cfRule>
  </conditionalFormatting>
  <conditionalFormatting sqref="D36">
    <cfRule type="cellIs" dxfId="651" priority="678" operator="equal">
      <formula>""</formula>
    </cfRule>
  </conditionalFormatting>
  <conditionalFormatting sqref="B34">
    <cfRule type="cellIs" dxfId="650" priority="668" operator="equal">
      <formula>""</formula>
    </cfRule>
  </conditionalFormatting>
  <conditionalFormatting sqref="A22">
    <cfRule type="cellIs" dxfId="649" priority="583" operator="equal">
      <formula>""</formula>
    </cfRule>
  </conditionalFormatting>
  <conditionalFormatting sqref="A34">
    <cfRule type="cellIs" dxfId="648" priority="674" operator="equal">
      <formula>""</formula>
    </cfRule>
  </conditionalFormatting>
  <conditionalFormatting sqref="A34">
    <cfRule type="cellIs" dxfId="647" priority="672" operator="equal">
      <formula>"Need to specify income type"</formula>
    </cfRule>
  </conditionalFormatting>
  <conditionalFormatting sqref="A34">
    <cfRule type="cellIs" dxfId="646" priority="671" operator="equal">
      <formula>""</formula>
    </cfRule>
  </conditionalFormatting>
  <conditionalFormatting sqref="B34">
    <cfRule type="cellIs" dxfId="645" priority="670" operator="equal">
      <formula>""</formula>
    </cfRule>
  </conditionalFormatting>
  <conditionalFormatting sqref="B34">
    <cfRule type="cellIs" dxfId="644" priority="669" operator="equal">
      <formula>"n/a"</formula>
    </cfRule>
  </conditionalFormatting>
  <conditionalFormatting sqref="B33">
    <cfRule type="cellIs" dxfId="643" priority="667" operator="equal">
      <formula>"n/a"</formula>
    </cfRule>
  </conditionalFormatting>
  <conditionalFormatting sqref="B33">
    <cfRule type="cellIs" dxfId="642" priority="666" operator="equal">
      <formula>""</formula>
    </cfRule>
  </conditionalFormatting>
  <conditionalFormatting sqref="D33">
    <cfRule type="cellIs" dxfId="641" priority="665" operator="equal">
      <formula>"n/a"</formula>
    </cfRule>
  </conditionalFormatting>
  <conditionalFormatting sqref="D33">
    <cfRule type="cellIs" dxfId="640" priority="664" operator="equal">
      <formula>""</formula>
    </cfRule>
  </conditionalFormatting>
  <conditionalFormatting sqref="C27">
    <cfRule type="cellIs" dxfId="639" priority="652" operator="equal">
      <formula>""</formula>
    </cfRule>
  </conditionalFormatting>
  <conditionalFormatting sqref="C27">
    <cfRule type="cellIs" dxfId="638" priority="651" operator="equal">
      <formula>"n/a"</formula>
    </cfRule>
  </conditionalFormatting>
  <conditionalFormatting sqref="A29:A30">
    <cfRule type="cellIs" dxfId="637" priority="661" operator="equal">
      <formula>""</formula>
    </cfRule>
  </conditionalFormatting>
  <conditionalFormatting sqref="A29:A30">
    <cfRule type="cellIs" dxfId="636" priority="658" operator="equal">
      <formula>"n/a"</formula>
    </cfRule>
  </conditionalFormatting>
  <conditionalFormatting sqref="A27">
    <cfRule type="cellIs" dxfId="635" priority="649" operator="equal">
      <formula>"n/a"</formula>
    </cfRule>
  </conditionalFormatting>
  <conditionalFormatting sqref="A27">
    <cfRule type="cellIs" dxfId="634" priority="650" operator="equal">
      <formula>""</formula>
    </cfRule>
  </conditionalFormatting>
  <conditionalFormatting sqref="A29:A30 A27 C27">
    <cfRule type="cellIs" dxfId="633" priority="648" operator="equal">
      <formula>""</formula>
    </cfRule>
  </conditionalFormatting>
  <conditionalFormatting sqref="C30">
    <cfRule type="cellIs" dxfId="632" priority="639" operator="equal">
      <formula>"n/a"</formula>
    </cfRule>
  </conditionalFormatting>
  <conditionalFormatting sqref="C30">
    <cfRule type="cellIs" dxfId="631" priority="640" operator="equal">
      <formula>""</formula>
    </cfRule>
  </conditionalFormatting>
  <conditionalFormatting sqref="C30">
    <cfRule type="cellIs" dxfId="630" priority="638" operator="equal">
      <formula>"Need to specify income type"</formula>
    </cfRule>
  </conditionalFormatting>
  <conditionalFormatting sqref="C30">
    <cfRule type="cellIs" dxfId="629" priority="637" operator="equal">
      <formula>""</formula>
    </cfRule>
  </conditionalFormatting>
  <conditionalFormatting sqref="A112">
    <cfRule type="cellIs" dxfId="628" priority="537" operator="equal">
      <formula>"n/a"</formula>
    </cfRule>
  </conditionalFormatting>
  <conditionalFormatting sqref="A28">
    <cfRule type="cellIs" dxfId="627" priority="630" operator="equal">
      <formula>""</formula>
    </cfRule>
  </conditionalFormatting>
  <conditionalFormatting sqref="A28">
    <cfRule type="cellIs" dxfId="626" priority="628" operator="equal">
      <formula>"Need to specify income type"</formula>
    </cfRule>
  </conditionalFormatting>
  <conditionalFormatting sqref="A28">
    <cfRule type="cellIs" dxfId="625" priority="627" operator="equal">
      <formula>""</formula>
    </cfRule>
  </conditionalFormatting>
  <conditionalFormatting sqref="D24">
    <cfRule type="cellIs" dxfId="624" priority="591" operator="equal">
      <formula>"n/a"</formula>
    </cfRule>
  </conditionalFormatting>
  <conditionalFormatting sqref="D24">
    <cfRule type="cellIs" dxfId="623" priority="590" operator="equal">
      <formula>""</formula>
    </cfRule>
  </conditionalFormatting>
  <conditionalFormatting sqref="B22">
    <cfRule type="cellIs" dxfId="622" priority="580" operator="equal">
      <formula>""</formula>
    </cfRule>
  </conditionalFormatting>
  <conditionalFormatting sqref="C21">
    <cfRule type="cellIs" dxfId="621" priority="608" operator="equal">
      <formula>""</formula>
    </cfRule>
  </conditionalFormatting>
  <conditionalFormatting sqref="C21">
    <cfRule type="cellIs" dxfId="620" priority="607" operator="equal">
      <formula>"n/a"</formula>
    </cfRule>
  </conditionalFormatting>
  <conditionalFormatting sqref="A23:A25">
    <cfRule type="cellIs" dxfId="619" priority="617" operator="equal">
      <formula>""</formula>
    </cfRule>
  </conditionalFormatting>
  <conditionalFormatting sqref="A23:A25">
    <cfRule type="cellIs" dxfId="618" priority="614" operator="equal">
      <formula>"n/a"</formula>
    </cfRule>
  </conditionalFormatting>
  <conditionalFormatting sqref="A25">
    <cfRule type="cellIs" dxfId="617" priority="613" operator="equal">
      <formula>"Need to specify income type"</formula>
    </cfRule>
  </conditionalFormatting>
  <conditionalFormatting sqref="B23">
    <cfRule type="cellIs" dxfId="616" priority="611" operator="equal">
      <formula>"n/a"</formula>
    </cfRule>
    <cfRule type="cellIs" dxfId="615" priority="612" operator="equal">
      <formula>""</formula>
    </cfRule>
  </conditionalFormatting>
  <conditionalFormatting sqref="B24">
    <cfRule type="cellIs" dxfId="614" priority="609" operator="equal">
      <formula>"n/a"</formula>
    </cfRule>
    <cfRule type="cellIs" dxfId="613" priority="610" operator="equal">
      <formula>""</formula>
    </cfRule>
  </conditionalFormatting>
  <conditionalFormatting sqref="A21">
    <cfRule type="cellIs" dxfId="612" priority="605" operator="equal">
      <formula>"n/a"</formula>
    </cfRule>
  </conditionalFormatting>
  <conditionalFormatting sqref="A21">
    <cfRule type="cellIs" dxfId="611" priority="606" operator="equal">
      <formula>""</formula>
    </cfRule>
  </conditionalFormatting>
  <conditionalFormatting sqref="A23:B24 A21 C21 A25">
    <cfRule type="cellIs" dxfId="610" priority="604" operator="equal">
      <formula>""</formula>
    </cfRule>
  </conditionalFormatting>
  <conditionalFormatting sqref="C23">
    <cfRule type="cellIs" dxfId="609" priority="601" operator="equal">
      <formula>""</formula>
    </cfRule>
  </conditionalFormatting>
  <conditionalFormatting sqref="C23">
    <cfRule type="cellIs" dxfId="608" priority="600" operator="equal">
      <formula>"n/a"</formula>
    </cfRule>
  </conditionalFormatting>
  <conditionalFormatting sqref="C23">
    <cfRule type="cellIs" dxfId="607" priority="599" operator="equal">
      <formula>"Need to specify income type"</formula>
    </cfRule>
  </conditionalFormatting>
  <conditionalFormatting sqref="D23">
    <cfRule type="cellIs" dxfId="606" priority="597" operator="equal">
      <formula>""</formula>
    </cfRule>
  </conditionalFormatting>
  <conditionalFormatting sqref="C24">
    <cfRule type="cellIs" dxfId="605" priority="595" operator="equal">
      <formula>"n/a"</formula>
    </cfRule>
  </conditionalFormatting>
  <conditionalFormatting sqref="C24">
    <cfRule type="cellIs" dxfId="604" priority="596" operator="equal">
      <formula>""</formula>
    </cfRule>
  </conditionalFormatting>
  <conditionalFormatting sqref="C24">
    <cfRule type="cellIs" dxfId="603" priority="594" operator="equal">
      <formula>"Need to specify income type"</formula>
    </cfRule>
  </conditionalFormatting>
  <conditionalFormatting sqref="C24">
    <cfRule type="cellIs" dxfId="602" priority="593" operator="equal">
      <formula>""</formula>
    </cfRule>
  </conditionalFormatting>
  <conditionalFormatting sqref="D24">
    <cfRule type="cellIs" dxfId="601" priority="592" operator="equal">
      <formula>""</formula>
    </cfRule>
  </conditionalFormatting>
  <conditionalFormatting sqref="C22">
    <cfRule type="cellIs" dxfId="600" priority="589" operator="equal">
      <formula>""</formula>
    </cfRule>
  </conditionalFormatting>
  <conditionalFormatting sqref="A22">
    <cfRule type="cellIs" dxfId="599" priority="585" operator="equal">
      <formula>"n/a"</formula>
    </cfRule>
  </conditionalFormatting>
  <conditionalFormatting sqref="A22">
    <cfRule type="cellIs" dxfId="598" priority="586" operator="equal">
      <formula>""</formula>
    </cfRule>
  </conditionalFormatting>
  <conditionalFormatting sqref="A22">
    <cfRule type="cellIs" dxfId="597" priority="584" operator="equal">
      <formula>"Need to specify income type"</formula>
    </cfRule>
  </conditionalFormatting>
  <conditionalFormatting sqref="B22">
    <cfRule type="cellIs" dxfId="596" priority="582" operator="equal">
      <formula>""</formula>
    </cfRule>
  </conditionalFormatting>
  <conditionalFormatting sqref="B21">
    <cfRule type="cellIs" dxfId="595" priority="579" operator="equal">
      <formula>"n/a"</formula>
    </cfRule>
  </conditionalFormatting>
  <conditionalFormatting sqref="B21">
    <cfRule type="cellIs" dxfId="594" priority="578" operator="equal">
      <formula>""</formula>
    </cfRule>
  </conditionalFormatting>
  <conditionalFormatting sqref="D21">
    <cfRule type="cellIs" dxfId="593" priority="577" operator="equal">
      <formula>"n/a"</formula>
    </cfRule>
  </conditionalFormatting>
  <conditionalFormatting sqref="D21">
    <cfRule type="cellIs" dxfId="592" priority="576" operator="equal">
      <formula>""</formula>
    </cfRule>
  </conditionalFormatting>
  <conditionalFormatting sqref="D22">
    <cfRule type="cellIs" dxfId="591" priority="575" operator="equal">
      <formula>"n/a"</formula>
    </cfRule>
  </conditionalFormatting>
  <conditionalFormatting sqref="D22">
    <cfRule type="cellIs" dxfId="590" priority="574" operator="equal">
      <formula>""</formula>
    </cfRule>
  </conditionalFormatting>
  <conditionalFormatting sqref="B12">
    <cfRule type="cellIs" dxfId="589" priority="573" operator="equal">
      <formula>""</formula>
    </cfRule>
  </conditionalFormatting>
  <conditionalFormatting sqref="B12">
    <cfRule type="cellIs" dxfId="588" priority="572" operator="equal">
      <formula>"n/a"</formula>
    </cfRule>
  </conditionalFormatting>
  <conditionalFormatting sqref="B12">
    <cfRule type="cellIs" dxfId="587" priority="571" operator="equal">
      <formula>""</formula>
    </cfRule>
  </conditionalFormatting>
  <conditionalFormatting sqref="B81 B83">
    <cfRule type="cellIs" dxfId="586" priority="511" operator="equal">
      <formula>""</formula>
    </cfRule>
  </conditionalFormatting>
  <conditionalFormatting sqref="D50">
    <cfRule type="cellIs" dxfId="585" priority="490" operator="equal">
      <formula>""</formula>
    </cfRule>
  </conditionalFormatting>
  <conditionalFormatting sqref="D83">
    <cfRule type="cellIs" dxfId="584" priority="505" operator="equal">
      <formula>""</formula>
    </cfRule>
  </conditionalFormatting>
  <conditionalFormatting sqref="D199:D200">
    <cfRule type="cellIs" dxfId="583" priority="484" operator="equal">
      <formula>""</formula>
    </cfRule>
  </conditionalFormatting>
  <conditionalFormatting sqref="D141">
    <cfRule type="cellIs" dxfId="582" priority="552" operator="equal">
      <formula>""</formula>
    </cfRule>
  </conditionalFormatting>
  <conditionalFormatting sqref="D141">
    <cfRule type="cellIs" dxfId="581" priority="551" operator="equal">
      <formula>"n/a"</formula>
    </cfRule>
  </conditionalFormatting>
  <conditionalFormatting sqref="D141">
    <cfRule type="cellIs" dxfId="580" priority="550" operator="equal">
      <formula>""</formula>
    </cfRule>
  </conditionalFormatting>
  <conditionalFormatting sqref="B141 B143">
    <cfRule type="cellIs" dxfId="579" priority="547" operator="equal">
      <formula>""</formula>
    </cfRule>
  </conditionalFormatting>
  <conditionalFormatting sqref="B141 B143">
    <cfRule type="cellIs" dxfId="578" priority="548" operator="equal">
      <formula>"n/a"</formula>
    </cfRule>
    <cfRule type="cellIs" dxfId="577" priority="549" operator="equal">
      <formula>""</formula>
    </cfRule>
  </conditionalFormatting>
  <conditionalFormatting sqref="D140">
    <cfRule type="cellIs" dxfId="576" priority="544" operator="equal">
      <formula>""</formula>
    </cfRule>
  </conditionalFormatting>
  <conditionalFormatting sqref="D140">
    <cfRule type="cellIs" dxfId="575" priority="545" operator="equal">
      <formula>"n/a"</formula>
    </cfRule>
    <cfRule type="cellIs" dxfId="574" priority="546" operator="equal">
      <formula>""</formula>
    </cfRule>
  </conditionalFormatting>
  <conditionalFormatting sqref="D143">
    <cfRule type="cellIs" dxfId="573" priority="541" operator="equal">
      <formula>""</formula>
    </cfRule>
  </conditionalFormatting>
  <conditionalFormatting sqref="D143">
    <cfRule type="cellIs" dxfId="572" priority="542" operator="equal">
      <formula>"n/a"</formula>
    </cfRule>
    <cfRule type="cellIs" dxfId="571" priority="543" operator="equal">
      <formula>""</formula>
    </cfRule>
  </conditionalFormatting>
  <conditionalFormatting sqref="A111 C111">
    <cfRule type="cellIs" dxfId="570" priority="540" operator="equal">
      <formula>"n/a"</formula>
    </cfRule>
  </conditionalFormatting>
  <conditionalFormatting sqref="C110">
    <cfRule type="cellIs" dxfId="569" priority="538" operator="equal">
      <formula>"n/a"</formula>
    </cfRule>
  </conditionalFormatting>
  <conditionalFormatting sqref="C110">
    <cfRule type="cellIs" dxfId="568" priority="539" operator="equal">
      <formula>""</formula>
    </cfRule>
  </conditionalFormatting>
  <conditionalFormatting sqref="D112">
    <cfRule type="cellIs" dxfId="567" priority="536" operator="equal">
      <formula>"n/a"</formula>
    </cfRule>
  </conditionalFormatting>
  <conditionalFormatting sqref="A110">
    <cfRule type="cellIs" dxfId="566" priority="535" operator="equal">
      <formula>"n/a"</formula>
    </cfRule>
  </conditionalFormatting>
  <conditionalFormatting sqref="D111">
    <cfRule type="cellIs" dxfId="565" priority="534" operator="equal">
      <formula>""</formula>
    </cfRule>
  </conditionalFormatting>
  <conditionalFormatting sqref="D111">
    <cfRule type="cellIs" dxfId="564" priority="533" operator="equal">
      <formula>"n/a"</formula>
    </cfRule>
  </conditionalFormatting>
  <conditionalFormatting sqref="D111">
    <cfRule type="cellIs" dxfId="563" priority="532" operator="equal">
      <formula>""</formula>
    </cfRule>
  </conditionalFormatting>
  <conditionalFormatting sqref="B111 B113">
    <cfRule type="cellIs" dxfId="562" priority="529" operator="equal">
      <formula>""</formula>
    </cfRule>
  </conditionalFormatting>
  <conditionalFormatting sqref="B111 B113">
    <cfRule type="cellIs" dxfId="561" priority="530" operator="equal">
      <formula>"n/a"</formula>
    </cfRule>
    <cfRule type="cellIs" dxfId="560" priority="531" operator="equal">
      <formula>""</formula>
    </cfRule>
  </conditionalFormatting>
  <conditionalFormatting sqref="D110">
    <cfRule type="cellIs" dxfId="559" priority="526" operator="equal">
      <formula>""</formula>
    </cfRule>
  </conditionalFormatting>
  <conditionalFormatting sqref="D110">
    <cfRule type="cellIs" dxfId="558" priority="527" operator="equal">
      <formula>"n/a"</formula>
    </cfRule>
    <cfRule type="cellIs" dxfId="557" priority="528" operator="equal">
      <formula>""</formula>
    </cfRule>
  </conditionalFormatting>
  <conditionalFormatting sqref="D113">
    <cfRule type="cellIs" dxfId="556" priority="523" operator="equal">
      <formula>""</formula>
    </cfRule>
  </conditionalFormatting>
  <conditionalFormatting sqref="D113">
    <cfRule type="cellIs" dxfId="555" priority="524" operator="equal">
      <formula>"n/a"</formula>
    </cfRule>
    <cfRule type="cellIs" dxfId="554" priority="525" operator="equal">
      <formula>""</formula>
    </cfRule>
  </conditionalFormatting>
  <conditionalFormatting sqref="A81 C81">
    <cfRule type="cellIs" dxfId="553" priority="522" operator="equal">
      <formula>"n/a"</formula>
    </cfRule>
  </conditionalFormatting>
  <conditionalFormatting sqref="C80">
    <cfRule type="cellIs" dxfId="552" priority="520" operator="equal">
      <formula>"n/a"</formula>
    </cfRule>
  </conditionalFormatting>
  <conditionalFormatting sqref="C80">
    <cfRule type="cellIs" dxfId="551" priority="521" operator="equal">
      <formula>""</formula>
    </cfRule>
  </conditionalFormatting>
  <conditionalFormatting sqref="A82">
    <cfRule type="cellIs" dxfId="550" priority="519" operator="equal">
      <formula>"n/a"</formula>
    </cfRule>
  </conditionalFormatting>
  <conditionalFormatting sqref="D82">
    <cfRule type="cellIs" dxfId="549" priority="518" operator="equal">
      <formula>"n/a"</formula>
    </cfRule>
  </conditionalFormatting>
  <conditionalFormatting sqref="A80">
    <cfRule type="cellIs" dxfId="548" priority="517" operator="equal">
      <formula>"n/a"</formula>
    </cfRule>
  </conditionalFormatting>
  <conditionalFormatting sqref="D81">
    <cfRule type="cellIs" dxfId="547" priority="516" operator="equal">
      <formula>""</formula>
    </cfRule>
  </conditionalFormatting>
  <conditionalFormatting sqref="D81">
    <cfRule type="cellIs" dxfId="546" priority="515" operator="equal">
      <formula>"n/a"</formula>
    </cfRule>
  </conditionalFormatting>
  <conditionalFormatting sqref="D81">
    <cfRule type="cellIs" dxfId="545" priority="514" operator="equal">
      <formula>""</formula>
    </cfRule>
  </conditionalFormatting>
  <conditionalFormatting sqref="B81 B83">
    <cfRule type="cellIs" dxfId="544" priority="512" operator="equal">
      <formula>"n/a"</formula>
    </cfRule>
    <cfRule type="cellIs" dxfId="543" priority="513" operator="equal">
      <formula>""</formula>
    </cfRule>
  </conditionalFormatting>
  <conditionalFormatting sqref="D80">
    <cfRule type="cellIs" dxfId="542" priority="508" operator="equal">
      <formula>""</formula>
    </cfRule>
  </conditionalFormatting>
  <conditionalFormatting sqref="D80">
    <cfRule type="cellIs" dxfId="541" priority="509" operator="equal">
      <formula>"n/a"</formula>
    </cfRule>
    <cfRule type="cellIs" dxfId="540" priority="510" operator="equal">
      <formula>""</formula>
    </cfRule>
  </conditionalFormatting>
  <conditionalFormatting sqref="D83">
    <cfRule type="cellIs" dxfId="539" priority="506" operator="equal">
      <formula>"n/a"</formula>
    </cfRule>
    <cfRule type="cellIs" dxfId="538" priority="507" operator="equal">
      <formula>""</formula>
    </cfRule>
  </conditionalFormatting>
  <conditionalFormatting sqref="A51 C51">
    <cfRule type="cellIs" dxfId="537" priority="504" operator="equal">
      <formula>"n/a"</formula>
    </cfRule>
  </conditionalFormatting>
  <conditionalFormatting sqref="C50">
    <cfRule type="cellIs" dxfId="536" priority="502" operator="equal">
      <formula>"n/a"</formula>
    </cfRule>
  </conditionalFormatting>
  <conditionalFormatting sqref="C50">
    <cfRule type="cellIs" dxfId="535" priority="503" operator="equal">
      <formula>""</formula>
    </cfRule>
  </conditionalFormatting>
  <conditionalFormatting sqref="A52">
    <cfRule type="cellIs" dxfId="534" priority="501" operator="equal">
      <formula>"n/a"</formula>
    </cfRule>
  </conditionalFormatting>
  <conditionalFormatting sqref="D52">
    <cfRule type="cellIs" dxfId="533" priority="500" operator="equal">
      <formula>"n/a"</formula>
    </cfRule>
  </conditionalFormatting>
  <conditionalFormatting sqref="A50">
    <cfRule type="cellIs" dxfId="532" priority="499" operator="equal">
      <formula>"n/a"</formula>
    </cfRule>
  </conditionalFormatting>
  <conditionalFormatting sqref="D51">
    <cfRule type="cellIs" dxfId="531" priority="498" operator="equal">
      <formula>""</formula>
    </cfRule>
  </conditionalFormatting>
  <conditionalFormatting sqref="D51">
    <cfRule type="cellIs" dxfId="530" priority="497" operator="equal">
      <formula>"n/a"</formula>
    </cfRule>
  </conditionalFormatting>
  <conditionalFormatting sqref="D51">
    <cfRule type="cellIs" dxfId="529" priority="496" operator="equal">
      <formula>""</formula>
    </cfRule>
  </conditionalFormatting>
  <conditionalFormatting sqref="B50:B53">
    <cfRule type="cellIs" dxfId="528" priority="493" operator="equal">
      <formula>""</formula>
    </cfRule>
  </conditionalFormatting>
  <conditionalFormatting sqref="B50:B53">
    <cfRule type="cellIs" dxfId="527" priority="494" operator="equal">
      <formula>"n/a"</formula>
    </cfRule>
    <cfRule type="cellIs" dxfId="526" priority="495" operator="equal">
      <formula>""</formula>
    </cfRule>
  </conditionalFormatting>
  <conditionalFormatting sqref="D50">
    <cfRule type="cellIs" dxfId="525" priority="491" operator="equal">
      <formula>"n/a"</formula>
    </cfRule>
    <cfRule type="cellIs" dxfId="524" priority="492" operator="equal">
      <formula>""</formula>
    </cfRule>
  </conditionalFormatting>
  <conditionalFormatting sqref="D53">
    <cfRule type="cellIs" dxfId="523" priority="487" operator="equal">
      <formula>""</formula>
    </cfRule>
  </conditionalFormatting>
  <conditionalFormatting sqref="D53">
    <cfRule type="cellIs" dxfId="522" priority="488" operator="equal">
      <formula>"n/a"</formula>
    </cfRule>
    <cfRule type="cellIs" dxfId="521" priority="489" operator="equal">
      <formula>""</formula>
    </cfRule>
  </conditionalFormatting>
  <conditionalFormatting sqref="D199:D200">
    <cfRule type="cellIs" dxfId="520" priority="485" operator="equal">
      <formula>"n/a"</formula>
    </cfRule>
    <cfRule type="cellIs" dxfId="519" priority="486" operator="equal">
      <formula>""</formula>
    </cfRule>
  </conditionalFormatting>
  <conditionalFormatting sqref="D220">
    <cfRule type="cellIs" dxfId="518" priority="475" operator="equal">
      <formula>""</formula>
    </cfRule>
  </conditionalFormatting>
  <conditionalFormatting sqref="D220">
    <cfRule type="cellIs" dxfId="517" priority="476" operator="equal">
      <formula>"n/a"</formula>
    </cfRule>
    <cfRule type="cellIs" dxfId="516" priority="477" operator="equal">
      <formula>""</formula>
    </cfRule>
  </conditionalFormatting>
  <conditionalFormatting sqref="D227">
    <cfRule type="cellIs" dxfId="515" priority="472" operator="equal">
      <formula>""</formula>
    </cfRule>
  </conditionalFormatting>
  <conditionalFormatting sqref="D227">
    <cfRule type="cellIs" dxfId="514" priority="473" operator="equal">
      <formula>"n/a"</formula>
    </cfRule>
    <cfRule type="cellIs" dxfId="513" priority="474" operator="equal">
      <formula>""</formula>
    </cfRule>
  </conditionalFormatting>
  <conditionalFormatting sqref="D196">
    <cfRule type="cellIs" dxfId="512" priority="469" operator="equal">
      <formula>""</formula>
    </cfRule>
  </conditionalFormatting>
  <conditionalFormatting sqref="D196">
    <cfRule type="cellIs" dxfId="511" priority="470" operator="equal">
      <formula>"n/a"</formula>
    </cfRule>
    <cfRule type="cellIs" dxfId="510" priority="471" operator="equal">
      <formula>""</formula>
    </cfRule>
  </conditionalFormatting>
  <conditionalFormatting sqref="B271:C271">
    <cfRule type="cellIs" dxfId="509" priority="450" operator="equal">
      <formula>""</formula>
    </cfRule>
  </conditionalFormatting>
  <conditionalFormatting sqref="B49">
    <cfRule type="cellIs" dxfId="508" priority="449" operator="equal">
      <formula>"n/a"</formula>
    </cfRule>
  </conditionalFormatting>
  <conditionalFormatting sqref="B49">
    <cfRule type="cellIs" dxfId="507" priority="448" operator="equal">
      <formula>""</formula>
    </cfRule>
  </conditionalFormatting>
  <conditionalFormatting sqref="A234:A238">
    <cfRule type="cellIs" dxfId="506" priority="445" operator="equal">
      <formula>"n/a"</formula>
    </cfRule>
  </conditionalFormatting>
  <conditionalFormatting sqref="A234:A238">
    <cfRule type="cellIs" dxfId="505" priority="444" operator="equal">
      <formula>""</formula>
    </cfRule>
  </conditionalFormatting>
  <conditionalFormatting sqref="D249">
    <cfRule type="expression" dxfId="504" priority="431">
      <formula>D249=""</formula>
    </cfRule>
  </conditionalFormatting>
  <conditionalFormatting sqref="C105">
    <cfRule type="cellIs" dxfId="503" priority="387" operator="equal">
      <formula>""</formula>
    </cfRule>
  </conditionalFormatting>
  <conditionalFormatting sqref="D224">
    <cfRule type="cellIs" dxfId="502" priority="432" operator="equal">
      <formula>""</formula>
    </cfRule>
  </conditionalFormatting>
  <conditionalFormatting sqref="D224">
    <cfRule type="cellIs" dxfId="501" priority="433" operator="equal">
      <formula>"n/a"</formula>
    </cfRule>
    <cfRule type="cellIs" dxfId="500" priority="434" operator="equal">
      <formula>""</formula>
    </cfRule>
  </conditionalFormatting>
  <conditionalFormatting sqref="C29">
    <cfRule type="cellIs" dxfId="499" priority="430" operator="equal">
      <formula>""</formula>
    </cfRule>
  </conditionalFormatting>
  <conditionalFormatting sqref="C29">
    <cfRule type="cellIs" dxfId="498" priority="429" operator="equal">
      <formula>"n/a"</formula>
    </cfRule>
  </conditionalFormatting>
  <conditionalFormatting sqref="C29">
    <cfRule type="cellIs" dxfId="497" priority="428" operator="equal">
      <formula>"Need to specify income type"</formula>
    </cfRule>
  </conditionalFormatting>
  <conditionalFormatting sqref="C29">
    <cfRule type="cellIs" dxfId="496" priority="427" operator="equal">
      <formula>""</formula>
    </cfRule>
  </conditionalFormatting>
  <conditionalFormatting sqref="C35">
    <cfRule type="cellIs" dxfId="495" priority="426" operator="equal">
      <formula>""</formula>
    </cfRule>
  </conditionalFormatting>
  <conditionalFormatting sqref="C35">
    <cfRule type="cellIs" dxfId="494" priority="425" operator="equal">
      <formula>"n/a"</formula>
    </cfRule>
  </conditionalFormatting>
  <conditionalFormatting sqref="C35">
    <cfRule type="cellIs" dxfId="493" priority="424" operator="equal">
      <formula>"Need to specify income type"</formula>
    </cfRule>
  </conditionalFormatting>
  <conditionalFormatting sqref="C35">
    <cfRule type="cellIs" dxfId="492" priority="423" operator="equal">
      <formula>""</formula>
    </cfRule>
  </conditionalFormatting>
  <conditionalFormatting sqref="C41">
    <cfRule type="cellIs" dxfId="491" priority="422" operator="equal">
      <formula>""</formula>
    </cfRule>
  </conditionalFormatting>
  <conditionalFormatting sqref="C41">
    <cfRule type="cellIs" dxfId="490" priority="421" operator="equal">
      <formula>"n/a"</formula>
    </cfRule>
  </conditionalFormatting>
  <conditionalFormatting sqref="C41">
    <cfRule type="cellIs" dxfId="489" priority="420" operator="equal">
      <formula>"Need to specify income type"</formula>
    </cfRule>
  </conditionalFormatting>
  <conditionalFormatting sqref="C41">
    <cfRule type="cellIs" dxfId="488" priority="419" operator="equal">
      <formula>""</formula>
    </cfRule>
  </conditionalFormatting>
  <conditionalFormatting sqref="C57">
    <cfRule type="cellIs" dxfId="487" priority="418" operator="equal">
      <formula>""</formula>
    </cfRule>
  </conditionalFormatting>
  <conditionalFormatting sqref="C57">
    <cfRule type="cellIs" dxfId="486" priority="417" operator="equal">
      <formula>"n/a"</formula>
    </cfRule>
  </conditionalFormatting>
  <conditionalFormatting sqref="C57">
    <cfRule type="cellIs" dxfId="485" priority="416" operator="equal">
      <formula>"Need to specify income type"</formula>
    </cfRule>
  </conditionalFormatting>
  <conditionalFormatting sqref="C57">
    <cfRule type="cellIs" dxfId="484" priority="415" operator="equal">
      <formula>""</formula>
    </cfRule>
  </conditionalFormatting>
  <conditionalFormatting sqref="C63">
    <cfRule type="cellIs" dxfId="483" priority="414" operator="equal">
      <formula>""</formula>
    </cfRule>
  </conditionalFormatting>
  <conditionalFormatting sqref="C63">
    <cfRule type="cellIs" dxfId="482" priority="413" operator="equal">
      <formula>"n/a"</formula>
    </cfRule>
  </conditionalFormatting>
  <conditionalFormatting sqref="C63">
    <cfRule type="cellIs" dxfId="481" priority="412" operator="equal">
      <formula>"Need to specify income type"</formula>
    </cfRule>
  </conditionalFormatting>
  <conditionalFormatting sqref="C63">
    <cfRule type="cellIs" dxfId="480" priority="411" operator="equal">
      <formula>""</formula>
    </cfRule>
  </conditionalFormatting>
  <conditionalFormatting sqref="C69">
    <cfRule type="cellIs" dxfId="479" priority="410" operator="equal">
      <formula>""</formula>
    </cfRule>
  </conditionalFormatting>
  <conditionalFormatting sqref="C69">
    <cfRule type="cellIs" dxfId="478" priority="409" operator="equal">
      <formula>"n/a"</formula>
    </cfRule>
  </conditionalFormatting>
  <conditionalFormatting sqref="C69">
    <cfRule type="cellIs" dxfId="477" priority="408" operator="equal">
      <formula>"Need to specify income type"</formula>
    </cfRule>
  </conditionalFormatting>
  <conditionalFormatting sqref="C69">
    <cfRule type="cellIs" dxfId="476" priority="407" operator="equal">
      <formula>""</formula>
    </cfRule>
  </conditionalFormatting>
  <conditionalFormatting sqref="C75">
    <cfRule type="cellIs" dxfId="475" priority="406" operator="equal">
      <formula>""</formula>
    </cfRule>
  </conditionalFormatting>
  <conditionalFormatting sqref="C75">
    <cfRule type="cellIs" dxfId="474" priority="405" operator="equal">
      <formula>"n/a"</formula>
    </cfRule>
  </conditionalFormatting>
  <conditionalFormatting sqref="C75">
    <cfRule type="cellIs" dxfId="473" priority="404" operator="equal">
      <formula>"Need to specify income type"</formula>
    </cfRule>
  </conditionalFormatting>
  <conditionalFormatting sqref="C75">
    <cfRule type="cellIs" dxfId="472" priority="403" operator="equal">
      <formula>""</formula>
    </cfRule>
  </conditionalFormatting>
  <conditionalFormatting sqref="C87">
    <cfRule type="cellIs" dxfId="471" priority="402" operator="equal">
      <formula>""</formula>
    </cfRule>
  </conditionalFormatting>
  <conditionalFormatting sqref="C87">
    <cfRule type="cellIs" dxfId="470" priority="401" operator="equal">
      <formula>"n/a"</formula>
    </cfRule>
  </conditionalFormatting>
  <conditionalFormatting sqref="C87">
    <cfRule type="cellIs" dxfId="469" priority="400" operator="equal">
      <formula>"Need to specify income type"</formula>
    </cfRule>
  </conditionalFormatting>
  <conditionalFormatting sqref="C87">
    <cfRule type="cellIs" dxfId="468" priority="399" operator="equal">
      <formula>""</formula>
    </cfRule>
  </conditionalFormatting>
  <conditionalFormatting sqref="C93">
    <cfRule type="cellIs" dxfId="467" priority="398" operator="equal">
      <formula>""</formula>
    </cfRule>
  </conditionalFormatting>
  <conditionalFormatting sqref="C93">
    <cfRule type="cellIs" dxfId="466" priority="397" operator="equal">
      <formula>"n/a"</formula>
    </cfRule>
  </conditionalFormatting>
  <conditionalFormatting sqref="C93">
    <cfRule type="cellIs" dxfId="465" priority="396" operator="equal">
      <formula>"Need to specify income type"</formula>
    </cfRule>
  </conditionalFormatting>
  <conditionalFormatting sqref="C93">
    <cfRule type="cellIs" dxfId="464" priority="395" operator="equal">
      <formula>""</formula>
    </cfRule>
  </conditionalFormatting>
  <conditionalFormatting sqref="C99">
    <cfRule type="cellIs" dxfId="463" priority="394" operator="equal">
      <formula>""</formula>
    </cfRule>
  </conditionalFormatting>
  <conditionalFormatting sqref="C99">
    <cfRule type="cellIs" dxfId="462" priority="393" operator="equal">
      <formula>"n/a"</formula>
    </cfRule>
  </conditionalFormatting>
  <conditionalFormatting sqref="C99">
    <cfRule type="cellIs" dxfId="461" priority="392" operator="equal">
      <formula>"Need to specify income type"</formula>
    </cfRule>
  </conditionalFormatting>
  <conditionalFormatting sqref="C99">
    <cfRule type="cellIs" dxfId="460" priority="391" operator="equal">
      <formula>""</formula>
    </cfRule>
  </conditionalFormatting>
  <conditionalFormatting sqref="C105">
    <cfRule type="cellIs" dxfId="459" priority="390" operator="equal">
      <formula>""</formula>
    </cfRule>
  </conditionalFormatting>
  <conditionalFormatting sqref="C105">
    <cfRule type="cellIs" dxfId="458" priority="389" operator="equal">
      <formula>"n/a"</formula>
    </cfRule>
  </conditionalFormatting>
  <conditionalFormatting sqref="C105">
    <cfRule type="cellIs" dxfId="457" priority="388" operator="equal">
      <formula>"Need to specify income type"</formula>
    </cfRule>
  </conditionalFormatting>
  <conditionalFormatting sqref="C117">
    <cfRule type="cellIs" dxfId="456" priority="386" operator="equal">
      <formula>""</formula>
    </cfRule>
  </conditionalFormatting>
  <conditionalFormatting sqref="C117">
    <cfRule type="cellIs" dxfId="455" priority="385" operator="equal">
      <formula>"n/a"</formula>
    </cfRule>
  </conditionalFormatting>
  <conditionalFormatting sqref="C117">
    <cfRule type="cellIs" dxfId="454" priority="384" operator="equal">
      <formula>"Need to specify income type"</formula>
    </cfRule>
  </conditionalFormatting>
  <conditionalFormatting sqref="C117">
    <cfRule type="cellIs" dxfId="453" priority="383" operator="equal">
      <formula>""</formula>
    </cfRule>
  </conditionalFormatting>
  <conditionalFormatting sqref="C123">
    <cfRule type="cellIs" dxfId="452" priority="382" operator="equal">
      <formula>""</formula>
    </cfRule>
  </conditionalFormatting>
  <conditionalFormatting sqref="C123">
    <cfRule type="cellIs" dxfId="451" priority="381" operator="equal">
      <formula>"n/a"</formula>
    </cfRule>
  </conditionalFormatting>
  <conditionalFormatting sqref="C123">
    <cfRule type="cellIs" dxfId="450" priority="380" operator="equal">
      <formula>"Need to specify income type"</formula>
    </cfRule>
  </conditionalFormatting>
  <conditionalFormatting sqref="C123">
    <cfRule type="cellIs" dxfId="449" priority="379" operator="equal">
      <formula>""</formula>
    </cfRule>
  </conditionalFormatting>
  <conditionalFormatting sqref="C129">
    <cfRule type="cellIs" dxfId="448" priority="378" operator="equal">
      <formula>""</formula>
    </cfRule>
  </conditionalFormatting>
  <conditionalFormatting sqref="C129">
    <cfRule type="cellIs" dxfId="447" priority="377" operator="equal">
      <formula>"n/a"</formula>
    </cfRule>
  </conditionalFormatting>
  <conditionalFormatting sqref="C129">
    <cfRule type="cellIs" dxfId="446" priority="376" operator="equal">
      <formula>"Need to specify income type"</formula>
    </cfRule>
  </conditionalFormatting>
  <conditionalFormatting sqref="C129">
    <cfRule type="cellIs" dxfId="445" priority="375" operator="equal">
      <formula>""</formula>
    </cfRule>
  </conditionalFormatting>
  <conditionalFormatting sqref="C135">
    <cfRule type="cellIs" dxfId="444" priority="374" operator="equal">
      <formula>""</formula>
    </cfRule>
  </conditionalFormatting>
  <conditionalFormatting sqref="C135">
    <cfRule type="cellIs" dxfId="443" priority="373" operator="equal">
      <formula>"n/a"</formula>
    </cfRule>
  </conditionalFormatting>
  <conditionalFormatting sqref="C135">
    <cfRule type="cellIs" dxfId="442" priority="372" operator="equal">
      <formula>"Need to specify income type"</formula>
    </cfRule>
  </conditionalFormatting>
  <conditionalFormatting sqref="C135">
    <cfRule type="cellIs" dxfId="441" priority="371" operator="equal">
      <formula>""</formula>
    </cfRule>
  </conditionalFormatting>
  <conditionalFormatting sqref="C147">
    <cfRule type="cellIs" dxfId="440" priority="370" operator="equal">
      <formula>""</formula>
    </cfRule>
  </conditionalFormatting>
  <conditionalFormatting sqref="C147">
    <cfRule type="cellIs" dxfId="439" priority="369" operator="equal">
      <formula>"n/a"</formula>
    </cfRule>
  </conditionalFormatting>
  <conditionalFormatting sqref="C147">
    <cfRule type="cellIs" dxfId="438" priority="368" operator="equal">
      <formula>"Need to specify income type"</formula>
    </cfRule>
  </conditionalFormatting>
  <conditionalFormatting sqref="C147">
    <cfRule type="cellIs" dxfId="437" priority="367" operator="equal">
      <formula>""</formula>
    </cfRule>
  </conditionalFormatting>
  <conditionalFormatting sqref="C153">
    <cfRule type="cellIs" dxfId="436" priority="366" operator="equal">
      <formula>""</formula>
    </cfRule>
  </conditionalFormatting>
  <conditionalFormatting sqref="C153">
    <cfRule type="cellIs" dxfId="435" priority="365" operator="equal">
      <formula>"n/a"</formula>
    </cfRule>
  </conditionalFormatting>
  <conditionalFormatting sqref="C153">
    <cfRule type="cellIs" dxfId="434" priority="364" operator="equal">
      <formula>"Need to specify income type"</formula>
    </cfRule>
  </conditionalFormatting>
  <conditionalFormatting sqref="C153">
    <cfRule type="cellIs" dxfId="433" priority="363" operator="equal">
      <formula>""</formula>
    </cfRule>
  </conditionalFormatting>
  <conditionalFormatting sqref="C159">
    <cfRule type="cellIs" dxfId="432" priority="362" operator="equal">
      <formula>""</formula>
    </cfRule>
  </conditionalFormatting>
  <conditionalFormatting sqref="C159">
    <cfRule type="cellIs" dxfId="431" priority="361" operator="equal">
      <formula>"n/a"</formula>
    </cfRule>
  </conditionalFormatting>
  <conditionalFormatting sqref="C159">
    <cfRule type="cellIs" dxfId="430" priority="360" operator="equal">
      <formula>"Need to specify income type"</formula>
    </cfRule>
  </conditionalFormatting>
  <conditionalFormatting sqref="C159">
    <cfRule type="cellIs" dxfId="429" priority="359" operator="equal">
      <formula>""</formula>
    </cfRule>
  </conditionalFormatting>
  <conditionalFormatting sqref="C165">
    <cfRule type="cellIs" dxfId="428" priority="358" operator="equal">
      <formula>""</formula>
    </cfRule>
  </conditionalFormatting>
  <conditionalFormatting sqref="C165">
    <cfRule type="cellIs" dxfId="427" priority="357" operator="equal">
      <formula>"n/a"</formula>
    </cfRule>
  </conditionalFormatting>
  <conditionalFormatting sqref="C165">
    <cfRule type="cellIs" dxfId="426" priority="356" operator="equal">
      <formula>"Need to specify income type"</formula>
    </cfRule>
  </conditionalFormatting>
  <conditionalFormatting sqref="C165">
    <cfRule type="cellIs" dxfId="425" priority="355" operator="equal">
      <formula>""</formula>
    </cfRule>
  </conditionalFormatting>
  <conditionalFormatting sqref="D249 B253:D258 D23 D35 D41 D57 D63 D69 D75 D93 D99 D105 D117 D123 D129 D135 D147 D153 D159 D165 B175 D170:D193 B193 B187 B181 B197:B198 B201:B202 D197:D198 D202 B204:B205 B208:B209 D204:D205 D209 B211:B212 B215:B216 D211:D212 D216 B218:B219 B222:B223 D218:D219 D223 B225:B226 B229:B230 D230 D225:D226 B291:C296 B280:B284 D284 C234:C238 B272:D276 D87">
    <cfRule type="expression" dxfId="424" priority="354">
      <formula>$B$249=EUR</formula>
    </cfRule>
  </conditionalFormatting>
  <conditionalFormatting sqref="B82">
    <cfRule type="cellIs" dxfId="423" priority="351" operator="equal">
      <formula>""</formula>
    </cfRule>
  </conditionalFormatting>
  <conditionalFormatting sqref="B82">
    <cfRule type="cellIs" dxfId="422" priority="352" operator="equal">
      <formula>"n/a"</formula>
    </cfRule>
    <cfRule type="cellIs" dxfId="421" priority="353" operator="equal">
      <formula>""</formula>
    </cfRule>
  </conditionalFormatting>
  <conditionalFormatting sqref="B112">
    <cfRule type="cellIs" dxfId="420" priority="348" operator="equal">
      <formula>""</formula>
    </cfRule>
  </conditionalFormatting>
  <conditionalFormatting sqref="B112">
    <cfRule type="cellIs" dxfId="419" priority="349" operator="equal">
      <formula>"n/a"</formula>
    </cfRule>
    <cfRule type="cellIs" dxfId="418" priority="350" operator="equal">
      <formula>""</formula>
    </cfRule>
  </conditionalFormatting>
  <conditionalFormatting sqref="B142">
    <cfRule type="cellIs" dxfId="417" priority="345" operator="equal">
      <formula>""</formula>
    </cfRule>
  </conditionalFormatting>
  <conditionalFormatting sqref="B142">
    <cfRule type="cellIs" dxfId="416" priority="346" operator="equal">
      <formula>"n/a"</formula>
    </cfRule>
    <cfRule type="cellIs" dxfId="415" priority="347" operator="equal">
      <formula>""</formula>
    </cfRule>
  </conditionalFormatting>
  <conditionalFormatting sqref="D249">
    <cfRule type="expression" dxfId="414" priority="945">
      <formula>$B$249=ILS</formula>
    </cfRule>
    <cfRule type="expression" dxfId="413" priority="946">
      <formula>$B$249=USD</formula>
    </cfRule>
  </conditionalFormatting>
  <conditionalFormatting sqref="B200">
    <cfRule type="cellIs" dxfId="412" priority="330" operator="equal">
      <formula>""</formula>
    </cfRule>
  </conditionalFormatting>
  <conditionalFormatting sqref="B200">
    <cfRule type="cellIs" dxfId="411" priority="331" operator="equal">
      <formula>"n/a"</formula>
    </cfRule>
    <cfRule type="cellIs" dxfId="410" priority="332" operator="equal">
      <formula>""</formula>
    </cfRule>
  </conditionalFormatting>
  <conditionalFormatting sqref="D207">
    <cfRule type="cellIs" dxfId="409" priority="327" operator="equal">
      <formula>""</formula>
    </cfRule>
  </conditionalFormatting>
  <conditionalFormatting sqref="D207">
    <cfRule type="cellIs" dxfId="408" priority="328" operator="equal">
      <formula>"n/a"</formula>
    </cfRule>
    <cfRule type="cellIs" dxfId="407" priority="329" operator="equal">
      <formula>""</formula>
    </cfRule>
  </conditionalFormatting>
  <conditionalFormatting sqref="B207">
    <cfRule type="cellIs" dxfId="406" priority="324" operator="equal">
      <formula>""</formula>
    </cfRule>
  </conditionalFormatting>
  <conditionalFormatting sqref="B207">
    <cfRule type="cellIs" dxfId="405" priority="325" operator="equal">
      <formula>"n/a"</formula>
    </cfRule>
    <cfRule type="cellIs" dxfId="404" priority="326" operator="equal">
      <formula>""</formula>
    </cfRule>
  </conditionalFormatting>
  <conditionalFormatting sqref="B214">
    <cfRule type="cellIs" dxfId="403" priority="318" operator="equal">
      <formula>""</formula>
    </cfRule>
  </conditionalFormatting>
  <conditionalFormatting sqref="B214">
    <cfRule type="cellIs" dxfId="402" priority="319" operator="equal">
      <formula>"n/a"</formula>
    </cfRule>
    <cfRule type="cellIs" dxfId="401" priority="320" operator="equal">
      <formula>""</formula>
    </cfRule>
  </conditionalFormatting>
  <conditionalFormatting sqref="B221">
    <cfRule type="cellIs" dxfId="400" priority="312" operator="equal">
      <formula>""</formula>
    </cfRule>
  </conditionalFormatting>
  <conditionalFormatting sqref="B221">
    <cfRule type="cellIs" dxfId="399" priority="313" operator="equal">
      <formula>"n/a"</formula>
    </cfRule>
    <cfRule type="cellIs" dxfId="398" priority="314" operator="equal">
      <formula>""</formula>
    </cfRule>
  </conditionalFormatting>
  <conditionalFormatting sqref="D228">
    <cfRule type="cellIs" dxfId="397" priority="309" operator="equal">
      <formula>""</formula>
    </cfRule>
  </conditionalFormatting>
  <conditionalFormatting sqref="D228">
    <cfRule type="cellIs" dxfId="396" priority="310" operator="equal">
      <formula>"n/a"</formula>
    </cfRule>
    <cfRule type="cellIs" dxfId="395" priority="311" operator="equal">
      <formula>""</formula>
    </cfRule>
  </conditionalFormatting>
  <conditionalFormatting sqref="B228">
    <cfRule type="cellIs" dxfId="394" priority="306" operator="equal">
      <formula>""</formula>
    </cfRule>
  </conditionalFormatting>
  <conditionalFormatting sqref="B228">
    <cfRule type="cellIs" dxfId="393" priority="307" operator="equal">
      <formula>"n/a"</formula>
    </cfRule>
    <cfRule type="cellIs" dxfId="392" priority="308" operator="equal">
      <formula>""</formula>
    </cfRule>
  </conditionalFormatting>
  <conditionalFormatting sqref="A414">
    <cfRule type="cellIs" dxfId="391" priority="305" operator="equal">
      <formula>""</formula>
    </cfRule>
  </conditionalFormatting>
  <conditionalFormatting sqref="A417">
    <cfRule type="cellIs" dxfId="390" priority="302" operator="equal">
      <formula>""</formula>
    </cfRule>
  </conditionalFormatting>
  <conditionalFormatting sqref="A407">
    <cfRule type="cellIs" dxfId="389" priority="301" operator="equal">
      <formula>""</formula>
    </cfRule>
  </conditionalFormatting>
  <conditionalFormatting sqref="B409">
    <cfRule type="expression" dxfId="388" priority="296">
      <formula>$B$409=""</formula>
    </cfRule>
    <cfRule type="expression" dxfId="387" priority="298">
      <formula>FC=EUR</formula>
    </cfRule>
    <cfRule type="expression" dxfId="386" priority="299">
      <formula>FC=ILS</formula>
    </cfRule>
    <cfRule type="expression" dxfId="385" priority="300">
      <formula>FC=USD</formula>
    </cfRule>
  </conditionalFormatting>
  <conditionalFormatting sqref="B408:D408">
    <cfRule type="expression" dxfId="384" priority="297">
      <formula>$B$408=""</formula>
    </cfRule>
  </conditionalFormatting>
  <conditionalFormatting sqref="C28">
    <cfRule type="cellIs" dxfId="383" priority="294" operator="equal">
      <formula>"n/a"</formula>
    </cfRule>
  </conditionalFormatting>
  <conditionalFormatting sqref="C28">
    <cfRule type="cellIs" dxfId="382" priority="293" operator="equal">
      <formula>""</formula>
    </cfRule>
  </conditionalFormatting>
  <conditionalFormatting sqref="C28">
    <cfRule type="cellIs" dxfId="381" priority="295" operator="equal">
      <formula>""</formula>
    </cfRule>
  </conditionalFormatting>
  <conditionalFormatting sqref="C34">
    <cfRule type="cellIs" dxfId="380" priority="291" operator="equal">
      <formula>"n/a"</formula>
    </cfRule>
  </conditionalFormatting>
  <conditionalFormatting sqref="C34">
    <cfRule type="cellIs" dxfId="379" priority="290" operator="equal">
      <formula>""</formula>
    </cfRule>
  </conditionalFormatting>
  <conditionalFormatting sqref="C34">
    <cfRule type="cellIs" dxfId="378" priority="292" operator="equal">
      <formula>""</formula>
    </cfRule>
  </conditionalFormatting>
  <conditionalFormatting sqref="C40">
    <cfRule type="cellIs" dxfId="377" priority="288" operator="equal">
      <formula>"n/a"</formula>
    </cfRule>
  </conditionalFormatting>
  <conditionalFormatting sqref="C40">
    <cfRule type="cellIs" dxfId="376" priority="287" operator="equal">
      <formula>""</formula>
    </cfRule>
  </conditionalFormatting>
  <conditionalFormatting sqref="C40">
    <cfRule type="cellIs" dxfId="375" priority="289" operator="equal">
      <formula>""</formula>
    </cfRule>
  </conditionalFormatting>
  <conditionalFormatting sqref="C56">
    <cfRule type="cellIs" dxfId="374" priority="285" operator="equal">
      <formula>"n/a"</formula>
    </cfRule>
  </conditionalFormatting>
  <conditionalFormatting sqref="C56">
    <cfRule type="cellIs" dxfId="373" priority="284" operator="equal">
      <formula>""</formula>
    </cfRule>
  </conditionalFormatting>
  <conditionalFormatting sqref="C56">
    <cfRule type="cellIs" dxfId="372" priority="286" operator="equal">
      <formula>""</formula>
    </cfRule>
  </conditionalFormatting>
  <conditionalFormatting sqref="C62">
    <cfRule type="cellIs" dxfId="371" priority="282" operator="equal">
      <formula>"n/a"</formula>
    </cfRule>
  </conditionalFormatting>
  <conditionalFormatting sqref="C62">
    <cfRule type="cellIs" dxfId="370" priority="281" operator="equal">
      <formula>""</formula>
    </cfRule>
  </conditionalFormatting>
  <conditionalFormatting sqref="C62">
    <cfRule type="cellIs" dxfId="369" priority="283" operator="equal">
      <formula>""</formula>
    </cfRule>
  </conditionalFormatting>
  <conditionalFormatting sqref="C68">
    <cfRule type="cellIs" dxfId="368" priority="279" operator="equal">
      <formula>"n/a"</formula>
    </cfRule>
  </conditionalFormatting>
  <conditionalFormatting sqref="C68">
    <cfRule type="cellIs" dxfId="367" priority="278" operator="equal">
      <formula>""</formula>
    </cfRule>
  </conditionalFormatting>
  <conditionalFormatting sqref="C68">
    <cfRule type="cellIs" dxfId="366" priority="280" operator="equal">
      <formula>""</formula>
    </cfRule>
  </conditionalFormatting>
  <conditionalFormatting sqref="C74">
    <cfRule type="cellIs" dxfId="365" priority="276" operator="equal">
      <formula>"n/a"</formula>
    </cfRule>
  </conditionalFormatting>
  <conditionalFormatting sqref="C74">
    <cfRule type="cellIs" dxfId="364" priority="275" operator="equal">
      <formula>""</formula>
    </cfRule>
  </conditionalFormatting>
  <conditionalFormatting sqref="C74">
    <cfRule type="cellIs" dxfId="363" priority="277" operator="equal">
      <formula>""</formula>
    </cfRule>
  </conditionalFormatting>
  <conditionalFormatting sqref="C86">
    <cfRule type="cellIs" dxfId="362" priority="273" operator="equal">
      <formula>"n/a"</formula>
    </cfRule>
  </conditionalFormatting>
  <conditionalFormatting sqref="C86">
    <cfRule type="cellIs" dxfId="361" priority="272" operator="equal">
      <formula>""</formula>
    </cfRule>
  </conditionalFormatting>
  <conditionalFormatting sqref="C86">
    <cfRule type="cellIs" dxfId="360" priority="274" operator="equal">
      <formula>""</formula>
    </cfRule>
  </conditionalFormatting>
  <conditionalFormatting sqref="C92">
    <cfRule type="cellIs" dxfId="359" priority="270" operator="equal">
      <formula>"n/a"</formula>
    </cfRule>
  </conditionalFormatting>
  <conditionalFormatting sqref="C92">
    <cfRule type="cellIs" dxfId="358" priority="269" operator="equal">
      <formula>""</formula>
    </cfRule>
  </conditionalFormatting>
  <conditionalFormatting sqref="C92">
    <cfRule type="cellIs" dxfId="357" priority="271" operator="equal">
      <formula>""</formula>
    </cfRule>
  </conditionalFormatting>
  <conditionalFormatting sqref="C98">
    <cfRule type="cellIs" dxfId="356" priority="267" operator="equal">
      <formula>"n/a"</formula>
    </cfRule>
  </conditionalFormatting>
  <conditionalFormatting sqref="C98">
    <cfRule type="cellIs" dxfId="355" priority="266" operator="equal">
      <formula>""</formula>
    </cfRule>
  </conditionalFormatting>
  <conditionalFormatting sqref="C98">
    <cfRule type="cellIs" dxfId="354" priority="268" operator="equal">
      <formula>""</formula>
    </cfRule>
  </conditionalFormatting>
  <conditionalFormatting sqref="C104">
    <cfRule type="cellIs" dxfId="353" priority="264" operator="equal">
      <formula>"n/a"</formula>
    </cfRule>
  </conditionalFormatting>
  <conditionalFormatting sqref="C104">
    <cfRule type="cellIs" dxfId="352" priority="263" operator="equal">
      <formula>""</formula>
    </cfRule>
  </conditionalFormatting>
  <conditionalFormatting sqref="C104">
    <cfRule type="cellIs" dxfId="351" priority="265" operator="equal">
      <formula>""</formula>
    </cfRule>
  </conditionalFormatting>
  <conditionalFormatting sqref="C116">
    <cfRule type="cellIs" dxfId="350" priority="261" operator="equal">
      <formula>"n/a"</formula>
    </cfRule>
  </conditionalFormatting>
  <conditionalFormatting sqref="C116">
    <cfRule type="cellIs" dxfId="349" priority="260" operator="equal">
      <formula>""</formula>
    </cfRule>
  </conditionalFormatting>
  <conditionalFormatting sqref="C116">
    <cfRule type="cellIs" dxfId="348" priority="262" operator="equal">
      <formula>""</formula>
    </cfRule>
  </conditionalFormatting>
  <conditionalFormatting sqref="C122">
    <cfRule type="cellIs" dxfId="347" priority="258" operator="equal">
      <formula>"n/a"</formula>
    </cfRule>
  </conditionalFormatting>
  <conditionalFormatting sqref="C122">
    <cfRule type="cellIs" dxfId="346" priority="257" operator="equal">
      <formula>""</formula>
    </cfRule>
  </conditionalFormatting>
  <conditionalFormatting sqref="C122">
    <cfRule type="cellIs" dxfId="345" priority="259" operator="equal">
      <formula>""</formula>
    </cfRule>
  </conditionalFormatting>
  <conditionalFormatting sqref="C128">
    <cfRule type="cellIs" dxfId="344" priority="255" operator="equal">
      <formula>"n/a"</formula>
    </cfRule>
  </conditionalFormatting>
  <conditionalFormatting sqref="C128">
    <cfRule type="cellIs" dxfId="343" priority="254" operator="equal">
      <formula>""</formula>
    </cfRule>
  </conditionalFormatting>
  <conditionalFormatting sqref="C128">
    <cfRule type="cellIs" dxfId="342" priority="256" operator="equal">
      <formula>""</formula>
    </cfRule>
  </conditionalFormatting>
  <conditionalFormatting sqref="C134">
    <cfRule type="cellIs" dxfId="341" priority="252" operator="equal">
      <formula>"n/a"</formula>
    </cfRule>
  </conditionalFormatting>
  <conditionalFormatting sqref="C134">
    <cfRule type="cellIs" dxfId="340" priority="251" operator="equal">
      <formula>""</formula>
    </cfRule>
  </conditionalFormatting>
  <conditionalFormatting sqref="C134">
    <cfRule type="cellIs" dxfId="339" priority="253" operator="equal">
      <formula>""</formula>
    </cfRule>
  </conditionalFormatting>
  <conditionalFormatting sqref="C146">
    <cfRule type="cellIs" dxfId="338" priority="249" operator="equal">
      <formula>"n/a"</formula>
    </cfRule>
  </conditionalFormatting>
  <conditionalFormatting sqref="C146">
    <cfRule type="cellIs" dxfId="337" priority="248" operator="equal">
      <formula>""</formula>
    </cfRule>
  </conditionalFormatting>
  <conditionalFormatting sqref="C146">
    <cfRule type="cellIs" dxfId="336" priority="250" operator="equal">
      <formula>""</formula>
    </cfRule>
  </conditionalFormatting>
  <conditionalFormatting sqref="C152">
    <cfRule type="cellIs" dxfId="335" priority="246" operator="equal">
      <formula>"n/a"</formula>
    </cfRule>
  </conditionalFormatting>
  <conditionalFormatting sqref="C152">
    <cfRule type="cellIs" dxfId="334" priority="245" operator="equal">
      <formula>""</formula>
    </cfRule>
  </conditionalFormatting>
  <conditionalFormatting sqref="C152">
    <cfRule type="cellIs" dxfId="333" priority="247" operator="equal">
      <formula>""</formula>
    </cfRule>
  </conditionalFormatting>
  <conditionalFormatting sqref="C158">
    <cfRule type="cellIs" dxfId="332" priority="243" operator="equal">
      <formula>"n/a"</formula>
    </cfRule>
  </conditionalFormatting>
  <conditionalFormatting sqref="C158">
    <cfRule type="cellIs" dxfId="331" priority="242" operator="equal">
      <formula>""</formula>
    </cfRule>
  </conditionalFormatting>
  <conditionalFormatting sqref="C158">
    <cfRule type="cellIs" dxfId="330" priority="244" operator="equal">
      <formula>""</formula>
    </cfRule>
  </conditionalFormatting>
  <conditionalFormatting sqref="C164">
    <cfRule type="cellIs" dxfId="329" priority="240" operator="equal">
      <formula>"n/a"</formula>
    </cfRule>
  </conditionalFormatting>
  <conditionalFormatting sqref="C164">
    <cfRule type="cellIs" dxfId="328" priority="239" operator="equal">
      <formula>""</formula>
    </cfRule>
  </conditionalFormatting>
  <conditionalFormatting sqref="C164">
    <cfRule type="cellIs" dxfId="327" priority="241" operator="equal">
      <formula>""</formula>
    </cfRule>
  </conditionalFormatting>
  <conditionalFormatting sqref="D116">
    <cfRule type="cellIs" dxfId="326" priority="178" operator="equal">
      <formula>"n/a"</formula>
    </cfRule>
  </conditionalFormatting>
  <conditionalFormatting sqref="D116">
    <cfRule type="cellIs" dxfId="325" priority="177" operator="equal">
      <formula>""</formula>
    </cfRule>
  </conditionalFormatting>
  <conditionalFormatting sqref="D34">
    <cfRule type="cellIs" dxfId="324" priority="198" operator="equal">
      <formula>"n/a"</formula>
    </cfRule>
  </conditionalFormatting>
  <conditionalFormatting sqref="D34">
    <cfRule type="cellIs" dxfId="323" priority="197" operator="equal">
      <formula>""</formula>
    </cfRule>
  </conditionalFormatting>
  <conditionalFormatting sqref="D40">
    <cfRule type="cellIs" dxfId="322" priority="196" operator="equal">
      <formula>"n/a"</formula>
    </cfRule>
  </conditionalFormatting>
  <conditionalFormatting sqref="D40">
    <cfRule type="cellIs" dxfId="321" priority="195" operator="equal">
      <formula>""</formula>
    </cfRule>
  </conditionalFormatting>
  <conditionalFormatting sqref="D56">
    <cfRule type="cellIs" dxfId="320" priority="194" operator="equal">
      <formula>"n/a"</formula>
    </cfRule>
  </conditionalFormatting>
  <conditionalFormatting sqref="D56">
    <cfRule type="cellIs" dxfId="319" priority="193" operator="equal">
      <formula>""</formula>
    </cfRule>
  </conditionalFormatting>
  <conditionalFormatting sqref="D62">
    <cfRule type="cellIs" dxfId="318" priority="192" operator="equal">
      <formula>"n/a"</formula>
    </cfRule>
  </conditionalFormatting>
  <conditionalFormatting sqref="D62">
    <cfRule type="cellIs" dxfId="317" priority="191" operator="equal">
      <formula>""</formula>
    </cfRule>
  </conditionalFormatting>
  <conditionalFormatting sqref="D68">
    <cfRule type="cellIs" dxfId="316" priority="190" operator="equal">
      <formula>"n/a"</formula>
    </cfRule>
  </conditionalFormatting>
  <conditionalFormatting sqref="D68">
    <cfRule type="cellIs" dxfId="315" priority="189" operator="equal">
      <formula>""</formula>
    </cfRule>
  </conditionalFormatting>
  <conditionalFormatting sqref="D74">
    <cfRule type="cellIs" dxfId="314" priority="188" operator="equal">
      <formula>"n/a"</formula>
    </cfRule>
  </conditionalFormatting>
  <conditionalFormatting sqref="D74">
    <cfRule type="cellIs" dxfId="313" priority="187" operator="equal">
      <formula>""</formula>
    </cfRule>
  </conditionalFormatting>
  <conditionalFormatting sqref="D86">
    <cfRule type="cellIs" dxfId="312" priority="186" operator="equal">
      <formula>"n/a"</formula>
    </cfRule>
  </conditionalFormatting>
  <conditionalFormatting sqref="D86">
    <cfRule type="cellIs" dxfId="311" priority="185" operator="equal">
      <formula>""</formula>
    </cfRule>
  </conditionalFormatting>
  <conditionalFormatting sqref="D92">
    <cfRule type="cellIs" dxfId="310" priority="184" operator="equal">
      <formula>"n/a"</formula>
    </cfRule>
  </conditionalFormatting>
  <conditionalFormatting sqref="D92">
    <cfRule type="cellIs" dxfId="309" priority="183" operator="equal">
      <formula>""</formula>
    </cfRule>
  </conditionalFormatting>
  <conditionalFormatting sqref="D98">
    <cfRule type="cellIs" dxfId="308" priority="182" operator="equal">
      <formula>"n/a"</formula>
    </cfRule>
  </conditionalFormatting>
  <conditionalFormatting sqref="D98">
    <cfRule type="cellIs" dxfId="307" priority="181" operator="equal">
      <formula>""</formula>
    </cfRule>
  </conditionalFormatting>
  <conditionalFormatting sqref="D104">
    <cfRule type="cellIs" dxfId="306" priority="180" operator="equal">
      <formula>"n/a"</formula>
    </cfRule>
  </conditionalFormatting>
  <conditionalFormatting sqref="D104">
    <cfRule type="cellIs" dxfId="305" priority="179" operator="equal">
      <formula>""</formula>
    </cfRule>
  </conditionalFormatting>
  <conditionalFormatting sqref="D122">
    <cfRule type="cellIs" dxfId="304" priority="176" operator="equal">
      <formula>"n/a"</formula>
    </cfRule>
  </conditionalFormatting>
  <conditionalFormatting sqref="D122">
    <cfRule type="cellIs" dxfId="303" priority="175" operator="equal">
      <formula>""</formula>
    </cfRule>
  </conditionalFormatting>
  <conditionalFormatting sqref="D128">
    <cfRule type="cellIs" dxfId="302" priority="174" operator="equal">
      <formula>"n/a"</formula>
    </cfRule>
  </conditionalFormatting>
  <conditionalFormatting sqref="D128">
    <cfRule type="cellIs" dxfId="301" priority="173" operator="equal">
      <formula>""</formula>
    </cfRule>
  </conditionalFormatting>
  <conditionalFormatting sqref="D134">
    <cfRule type="cellIs" dxfId="300" priority="172" operator="equal">
      <formula>"n/a"</formula>
    </cfRule>
  </conditionalFormatting>
  <conditionalFormatting sqref="D134">
    <cfRule type="cellIs" dxfId="299" priority="171" operator="equal">
      <formula>""</formula>
    </cfRule>
  </conditionalFormatting>
  <conditionalFormatting sqref="D146">
    <cfRule type="cellIs" dxfId="298" priority="170" operator="equal">
      <formula>"n/a"</formula>
    </cfRule>
  </conditionalFormatting>
  <conditionalFormatting sqref="D146">
    <cfRule type="cellIs" dxfId="297" priority="169" operator="equal">
      <formula>""</formula>
    </cfRule>
  </conditionalFormatting>
  <conditionalFormatting sqref="D152">
    <cfRule type="cellIs" dxfId="296" priority="168" operator="equal">
      <formula>"n/a"</formula>
    </cfRule>
  </conditionalFormatting>
  <conditionalFormatting sqref="D152">
    <cfRule type="cellIs" dxfId="295" priority="167" operator="equal">
      <formula>""</formula>
    </cfRule>
  </conditionalFormatting>
  <conditionalFormatting sqref="D158">
    <cfRule type="cellIs" dxfId="294" priority="166" operator="equal">
      <formula>"n/a"</formula>
    </cfRule>
  </conditionalFormatting>
  <conditionalFormatting sqref="D158">
    <cfRule type="cellIs" dxfId="293" priority="165" operator="equal">
      <formula>""</formula>
    </cfRule>
  </conditionalFormatting>
  <conditionalFormatting sqref="D164">
    <cfRule type="cellIs" dxfId="292" priority="164" operator="equal">
      <formula>"n/a"</formula>
    </cfRule>
  </conditionalFormatting>
  <conditionalFormatting sqref="D164">
    <cfRule type="cellIs" dxfId="291" priority="163" operator="equal">
      <formula>""</formula>
    </cfRule>
  </conditionalFormatting>
  <conditionalFormatting sqref="D206">
    <cfRule type="cellIs" dxfId="290" priority="160" operator="equal">
      <formula>""</formula>
    </cfRule>
  </conditionalFormatting>
  <conditionalFormatting sqref="D206">
    <cfRule type="cellIs" dxfId="289" priority="161" operator="equal">
      <formula>"n/a"</formula>
    </cfRule>
    <cfRule type="cellIs" dxfId="288" priority="162" operator="equal">
      <formula>""</formula>
    </cfRule>
  </conditionalFormatting>
  <conditionalFormatting sqref="D203">
    <cfRule type="cellIs" dxfId="287" priority="157" operator="equal">
      <formula>""</formula>
    </cfRule>
  </conditionalFormatting>
  <conditionalFormatting sqref="D203">
    <cfRule type="cellIs" dxfId="286" priority="158" operator="equal">
      <formula>"n/a"</formula>
    </cfRule>
    <cfRule type="cellIs" dxfId="285" priority="159" operator="equal">
      <formula>""</formula>
    </cfRule>
  </conditionalFormatting>
  <conditionalFormatting sqref="D210">
    <cfRule type="cellIs" dxfId="284" priority="154" operator="equal">
      <formula>""</formula>
    </cfRule>
  </conditionalFormatting>
  <conditionalFormatting sqref="D210">
    <cfRule type="cellIs" dxfId="283" priority="155" operator="equal">
      <formula>"n/a"</formula>
    </cfRule>
    <cfRule type="cellIs" dxfId="282" priority="156" operator="equal">
      <formula>""</formula>
    </cfRule>
  </conditionalFormatting>
  <conditionalFormatting sqref="D217">
    <cfRule type="cellIs" dxfId="281" priority="151" operator="equal">
      <formula>""</formula>
    </cfRule>
  </conditionalFormatting>
  <conditionalFormatting sqref="D217">
    <cfRule type="cellIs" dxfId="280" priority="152" operator="equal">
      <formula>"n/a"</formula>
    </cfRule>
    <cfRule type="cellIs" dxfId="279" priority="153" operator="equal">
      <formula>""</formula>
    </cfRule>
  </conditionalFormatting>
  <conditionalFormatting sqref="D213">
    <cfRule type="cellIs" dxfId="278" priority="148" operator="equal">
      <formula>""</formula>
    </cfRule>
  </conditionalFormatting>
  <conditionalFormatting sqref="D213">
    <cfRule type="cellIs" dxfId="277" priority="149" operator="equal">
      <formula>"n/a"</formula>
    </cfRule>
    <cfRule type="cellIs" dxfId="276" priority="150" operator="equal">
      <formula>""</formula>
    </cfRule>
  </conditionalFormatting>
  <conditionalFormatting sqref="D214">
    <cfRule type="cellIs" dxfId="275" priority="145" operator="equal">
      <formula>""</formula>
    </cfRule>
  </conditionalFormatting>
  <conditionalFormatting sqref="D214">
    <cfRule type="cellIs" dxfId="274" priority="146" operator="equal">
      <formula>"n/a"</formula>
    </cfRule>
    <cfRule type="cellIs" dxfId="273" priority="147" operator="equal">
      <formula>""</formula>
    </cfRule>
  </conditionalFormatting>
  <conditionalFormatting sqref="D221">
    <cfRule type="cellIs" dxfId="272" priority="142" operator="equal">
      <formula>""</formula>
    </cfRule>
  </conditionalFormatting>
  <conditionalFormatting sqref="D221">
    <cfRule type="cellIs" dxfId="271" priority="143" operator="equal">
      <formula>"n/a"</formula>
    </cfRule>
    <cfRule type="cellIs" dxfId="270" priority="144" operator="equal">
      <formula>""</formula>
    </cfRule>
  </conditionalFormatting>
  <conditionalFormatting sqref="A31">
    <cfRule type="cellIs" dxfId="269" priority="141" operator="equal">
      <formula>""</formula>
    </cfRule>
  </conditionalFormatting>
  <conditionalFormatting sqref="A31">
    <cfRule type="cellIs" dxfId="268" priority="140" operator="equal">
      <formula>"n/a"</formula>
    </cfRule>
  </conditionalFormatting>
  <conditionalFormatting sqref="A31">
    <cfRule type="cellIs" dxfId="267" priority="139" operator="equal">
      <formula>"Need to specify income type"</formula>
    </cfRule>
  </conditionalFormatting>
  <conditionalFormatting sqref="A31">
    <cfRule type="cellIs" dxfId="266" priority="138" operator="equal">
      <formula>""</formula>
    </cfRule>
  </conditionalFormatting>
  <conditionalFormatting sqref="D29">
    <cfRule type="cellIs" dxfId="265" priority="125" operator="equal">
      <formula>""</formula>
    </cfRule>
  </conditionalFormatting>
  <conditionalFormatting sqref="D30">
    <cfRule type="cellIs" dxfId="264" priority="124" operator="equal">
      <formula>""</formula>
    </cfRule>
  </conditionalFormatting>
  <conditionalFormatting sqref="D30">
    <cfRule type="cellIs" dxfId="263" priority="123" operator="equal">
      <formula>"n/a"</formula>
    </cfRule>
  </conditionalFormatting>
  <conditionalFormatting sqref="D30">
    <cfRule type="cellIs" dxfId="262" priority="122" operator="equal">
      <formula>""</formula>
    </cfRule>
  </conditionalFormatting>
  <conditionalFormatting sqref="D27">
    <cfRule type="cellIs" dxfId="261" priority="121" operator="equal">
      <formula>"n/a"</formula>
    </cfRule>
  </conditionalFormatting>
  <conditionalFormatting sqref="D27">
    <cfRule type="cellIs" dxfId="260" priority="120" operator="equal">
      <formula>""</formula>
    </cfRule>
  </conditionalFormatting>
  <conditionalFormatting sqref="D28">
    <cfRule type="cellIs" dxfId="259" priority="119" operator="equal">
      <formula>"n/a"</formula>
    </cfRule>
  </conditionalFormatting>
  <conditionalFormatting sqref="D28">
    <cfRule type="cellIs" dxfId="258" priority="118" operator="equal">
      <formula>""</formula>
    </cfRule>
  </conditionalFormatting>
  <conditionalFormatting sqref="D29">
    <cfRule type="expression" dxfId="257" priority="117">
      <formula>$B$249=EUR</formula>
    </cfRule>
  </conditionalFormatting>
  <conditionalFormatting sqref="D87">
    <cfRule type="cellIs" dxfId="256" priority="116" operator="equal">
      <formula>""</formula>
    </cfRule>
  </conditionalFormatting>
  <conditionalFormatting sqref="B89">
    <cfRule type="cellIs" dxfId="255" priority="109" operator="equal">
      <formula>"n/a"</formula>
    </cfRule>
    <cfRule type="cellIs" dxfId="254" priority="110" operator="equal">
      <formula>""</formula>
    </cfRule>
  </conditionalFormatting>
  <conditionalFormatting sqref="B89">
    <cfRule type="cellIs" dxfId="253" priority="107" operator="equal">
      <formula>"n/a"</formula>
    </cfRule>
    <cfRule type="cellIs" dxfId="252" priority="108" operator="equal">
      <formula>""</formula>
    </cfRule>
  </conditionalFormatting>
  <conditionalFormatting sqref="B89">
    <cfRule type="cellIs" dxfId="251" priority="106" operator="equal">
      <formula>""</formula>
    </cfRule>
  </conditionalFormatting>
  <conditionalFormatting sqref="B297:C298">
    <cfRule type="expression" dxfId="250" priority="103">
      <formula>$B$249=EUR</formula>
    </cfRule>
  </conditionalFormatting>
  <conditionalFormatting sqref="B80">
    <cfRule type="cellIs" dxfId="249" priority="100" operator="equal">
      <formula>""</formula>
    </cfRule>
  </conditionalFormatting>
  <conditionalFormatting sqref="B80">
    <cfRule type="cellIs" dxfId="248" priority="101" operator="equal">
      <formula>"n/a"</formula>
    </cfRule>
    <cfRule type="cellIs" dxfId="247" priority="102" operator="equal">
      <formula>""</formula>
    </cfRule>
  </conditionalFormatting>
  <conditionalFormatting sqref="B110">
    <cfRule type="cellIs" dxfId="246" priority="94" operator="equal">
      <formula>""</formula>
    </cfRule>
  </conditionalFormatting>
  <conditionalFormatting sqref="B110">
    <cfRule type="cellIs" dxfId="245" priority="95" operator="equal">
      <formula>"n/a"</formula>
    </cfRule>
    <cfRule type="cellIs" dxfId="244" priority="96" operator="equal">
      <formula>""</formula>
    </cfRule>
  </conditionalFormatting>
  <conditionalFormatting sqref="B140">
    <cfRule type="cellIs" dxfId="243" priority="91" operator="equal">
      <formula>""</formula>
    </cfRule>
  </conditionalFormatting>
  <conditionalFormatting sqref="B140">
    <cfRule type="cellIs" dxfId="242" priority="92" operator="equal">
      <formula>"n/a"</formula>
    </cfRule>
    <cfRule type="cellIs" dxfId="241" priority="93" operator="equal">
      <formula>""</formula>
    </cfRule>
  </conditionalFormatting>
  <conditionalFormatting sqref="B28">
    <cfRule type="cellIs" dxfId="240" priority="84" operator="equal">
      <formula>"n/a"</formula>
    </cfRule>
  </conditionalFormatting>
  <conditionalFormatting sqref="B28">
    <cfRule type="cellIs" dxfId="239" priority="83" operator="equal">
      <formula>""</formula>
    </cfRule>
  </conditionalFormatting>
  <conditionalFormatting sqref="B29">
    <cfRule type="cellIs" dxfId="238" priority="89" operator="equal">
      <formula>"n/a"</formula>
    </cfRule>
    <cfRule type="cellIs" dxfId="237" priority="90" operator="equal">
      <formula>""</formula>
    </cfRule>
  </conditionalFormatting>
  <conditionalFormatting sqref="B30">
    <cfRule type="cellIs" dxfId="236" priority="87" operator="equal">
      <formula>"n/a"</formula>
    </cfRule>
    <cfRule type="cellIs" dxfId="235" priority="88" operator="equal">
      <formula>""</formula>
    </cfRule>
  </conditionalFormatting>
  <conditionalFormatting sqref="B29:B30">
    <cfRule type="cellIs" dxfId="234" priority="86" operator="equal">
      <formula>""</formula>
    </cfRule>
  </conditionalFormatting>
  <conditionalFormatting sqref="B28">
    <cfRule type="cellIs" dxfId="233" priority="85" operator="equal">
      <formula>""</formula>
    </cfRule>
  </conditionalFormatting>
  <conditionalFormatting sqref="B27">
    <cfRule type="cellIs" dxfId="232" priority="82" operator="equal">
      <formula>"n/a"</formula>
    </cfRule>
  </conditionalFormatting>
  <conditionalFormatting sqref="B27">
    <cfRule type="cellIs" dxfId="231" priority="81" operator="equal">
      <formula>""</formula>
    </cfRule>
  </conditionalFormatting>
  <conditionalFormatting sqref="B56">
    <cfRule type="cellIs" dxfId="230" priority="74" operator="equal">
      <formula>"n/a"</formula>
    </cfRule>
  </conditionalFormatting>
  <conditionalFormatting sqref="B56">
    <cfRule type="cellIs" dxfId="229" priority="73" operator="equal">
      <formula>""</formula>
    </cfRule>
  </conditionalFormatting>
  <conditionalFormatting sqref="B57">
    <cfRule type="cellIs" dxfId="228" priority="79" operator="equal">
      <formula>"n/a"</formula>
    </cfRule>
    <cfRule type="cellIs" dxfId="227" priority="80" operator="equal">
      <formula>""</formula>
    </cfRule>
  </conditionalFormatting>
  <conditionalFormatting sqref="B58">
    <cfRule type="cellIs" dxfId="226" priority="77" operator="equal">
      <formula>"n/a"</formula>
    </cfRule>
    <cfRule type="cellIs" dxfId="225" priority="78" operator="equal">
      <formula>""</formula>
    </cfRule>
  </conditionalFormatting>
  <conditionalFormatting sqref="B57:B58">
    <cfRule type="cellIs" dxfId="224" priority="76" operator="equal">
      <formula>""</formula>
    </cfRule>
  </conditionalFormatting>
  <conditionalFormatting sqref="B56">
    <cfRule type="cellIs" dxfId="223" priority="75" operator="equal">
      <formula>""</formula>
    </cfRule>
  </conditionalFormatting>
  <conditionalFormatting sqref="B55">
    <cfRule type="cellIs" dxfId="222" priority="72" operator="equal">
      <formula>"n/a"</formula>
    </cfRule>
  </conditionalFormatting>
  <conditionalFormatting sqref="B55">
    <cfRule type="cellIs" dxfId="221" priority="71" operator="equal">
      <formula>""</formula>
    </cfRule>
  </conditionalFormatting>
  <conditionalFormatting sqref="B62">
    <cfRule type="cellIs" dxfId="220" priority="64" operator="equal">
      <formula>"n/a"</formula>
    </cfRule>
  </conditionalFormatting>
  <conditionalFormatting sqref="B62">
    <cfRule type="cellIs" dxfId="219" priority="63" operator="equal">
      <formula>""</formula>
    </cfRule>
  </conditionalFormatting>
  <conditionalFormatting sqref="B63">
    <cfRule type="cellIs" dxfId="218" priority="69" operator="equal">
      <formula>"n/a"</formula>
    </cfRule>
    <cfRule type="cellIs" dxfId="217" priority="70" operator="equal">
      <formula>""</formula>
    </cfRule>
  </conditionalFormatting>
  <conditionalFormatting sqref="B64">
    <cfRule type="cellIs" dxfId="216" priority="67" operator="equal">
      <formula>"n/a"</formula>
    </cfRule>
    <cfRule type="cellIs" dxfId="215" priority="68" operator="equal">
      <formula>""</formula>
    </cfRule>
  </conditionalFormatting>
  <conditionalFormatting sqref="B63:B64">
    <cfRule type="cellIs" dxfId="214" priority="66" operator="equal">
      <formula>""</formula>
    </cfRule>
  </conditionalFormatting>
  <conditionalFormatting sqref="B62">
    <cfRule type="cellIs" dxfId="213" priority="65" operator="equal">
      <formula>""</formula>
    </cfRule>
  </conditionalFormatting>
  <conditionalFormatting sqref="B61">
    <cfRule type="cellIs" dxfId="212" priority="62" operator="equal">
      <formula>"n/a"</formula>
    </cfRule>
  </conditionalFormatting>
  <conditionalFormatting sqref="B61">
    <cfRule type="cellIs" dxfId="211" priority="61" operator="equal">
      <formula>""</formula>
    </cfRule>
  </conditionalFormatting>
  <conditionalFormatting sqref="B86">
    <cfRule type="cellIs" dxfId="210" priority="54" operator="equal">
      <formula>"n/a"</formula>
    </cfRule>
  </conditionalFormatting>
  <conditionalFormatting sqref="B86">
    <cfRule type="cellIs" dxfId="209" priority="53" operator="equal">
      <formula>""</formula>
    </cfRule>
  </conditionalFormatting>
  <conditionalFormatting sqref="B87">
    <cfRule type="cellIs" dxfId="208" priority="59" operator="equal">
      <formula>"n/a"</formula>
    </cfRule>
    <cfRule type="cellIs" dxfId="207" priority="60" operator="equal">
      <formula>""</formula>
    </cfRule>
  </conditionalFormatting>
  <conditionalFormatting sqref="B88">
    <cfRule type="cellIs" dxfId="206" priority="57" operator="equal">
      <formula>"n/a"</formula>
    </cfRule>
    <cfRule type="cellIs" dxfId="205" priority="58" operator="equal">
      <formula>""</formula>
    </cfRule>
  </conditionalFormatting>
  <conditionalFormatting sqref="B87:B88">
    <cfRule type="cellIs" dxfId="204" priority="56" operator="equal">
      <formula>""</formula>
    </cfRule>
  </conditionalFormatting>
  <conditionalFormatting sqref="B86">
    <cfRule type="cellIs" dxfId="203" priority="55" operator="equal">
      <formula>""</formula>
    </cfRule>
  </conditionalFormatting>
  <conditionalFormatting sqref="B85">
    <cfRule type="cellIs" dxfId="202" priority="52" operator="equal">
      <formula>"n/a"</formula>
    </cfRule>
  </conditionalFormatting>
  <conditionalFormatting sqref="B85">
    <cfRule type="cellIs" dxfId="201" priority="51" operator="equal">
      <formula>""</formula>
    </cfRule>
  </conditionalFormatting>
  <conditionalFormatting sqref="B92">
    <cfRule type="cellIs" dxfId="200" priority="44" operator="equal">
      <formula>"n/a"</formula>
    </cfRule>
  </conditionalFormatting>
  <conditionalFormatting sqref="B92">
    <cfRule type="cellIs" dxfId="199" priority="43" operator="equal">
      <formula>""</formula>
    </cfRule>
  </conditionalFormatting>
  <conditionalFormatting sqref="B93">
    <cfRule type="cellIs" dxfId="198" priority="49" operator="equal">
      <formula>"n/a"</formula>
    </cfRule>
    <cfRule type="cellIs" dxfId="197" priority="50" operator="equal">
      <formula>""</formula>
    </cfRule>
  </conditionalFormatting>
  <conditionalFormatting sqref="B94">
    <cfRule type="cellIs" dxfId="196" priority="47" operator="equal">
      <formula>"n/a"</formula>
    </cfRule>
    <cfRule type="cellIs" dxfId="195" priority="48" operator="equal">
      <formula>""</formula>
    </cfRule>
  </conditionalFormatting>
  <conditionalFormatting sqref="B93:B94">
    <cfRule type="cellIs" dxfId="194" priority="46" operator="equal">
      <formula>""</formula>
    </cfRule>
  </conditionalFormatting>
  <conditionalFormatting sqref="B92">
    <cfRule type="cellIs" dxfId="193" priority="45" operator="equal">
      <formula>""</formula>
    </cfRule>
  </conditionalFormatting>
  <conditionalFormatting sqref="B91">
    <cfRule type="cellIs" dxfId="192" priority="42" operator="equal">
      <formula>"n/a"</formula>
    </cfRule>
  </conditionalFormatting>
  <conditionalFormatting sqref="B91">
    <cfRule type="cellIs" dxfId="191" priority="41" operator="equal">
      <formula>""</formula>
    </cfRule>
  </conditionalFormatting>
  <conditionalFormatting sqref="B116">
    <cfRule type="cellIs" dxfId="190" priority="34" operator="equal">
      <formula>"n/a"</formula>
    </cfRule>
  </conditionalFormatting>
  <conditionalFormatting sqref="B116">
    <cfRule type="cellIs" dxfId="189" priority="33" operator="equal">
      <formula>""</formula>
    </cfRule>
  </conditionalFormatting>
  <conditionalFormatting sqref="B117">
    <cfRule type="cellIs" dxfId="188" priority="39" operator="equal">
      <formula>"n/a"</formula>
    </cfRule>
    <cfRule type="cellIs" dxfId="187" priority="40" operator="equal">
      <formula>""</formula>
    </cfRule>
  </conditionalFormatting>
  <conditionalFormatting sqref="B118">
    <cfRule type="cellIs" dxfId="186" priority="37" operator="equal">
      <formula>"n/a"</formula>
    </cfRule>
    <cfRule type="cellIs" dxfId="185" priority="38" operator="equal">
      <formula>""</formula>
    </cfRule>
  </conditionalFormatting>
  <conditionalFormatting sqref="B117:B118">
    <cfRule type="cellIs" dxfId="184" priority="36" operator="equal">
      <formula>""</formula>
    </cfRule>
  </conditionalFormatting>
  <conditionalFormatting sqref="B116">
    <cfRule type="cellIs" dxfId="183" priority="35" operator="equal">
      <formula>""</formula>
    </cfRule>
  </conditionalFormatting>
  <conditionalFormatting sqref="B115">
    <cfRule type="cellIs" dxfId="182" priority="32" operator="equal">
      <formula>"n/a"</formula>
    </cfRule>
  </conditionalFormatting>
  <conditionalFormatting sqref="B115">
    <cfRule type="cellIs" dxfId="181" priority="31" operator="equal">
      <formula>""</formula>
    </cfRule>
  </conditionalFormatting>
  <conditionalFormatting sqref="B122">
    <cfRule type="cellIs" dxfId="180" priority="24" operator="equal">
      <formula>"n/a"</formula>
    </cfRule>
  </conditionalFormatting>
  <conditionalFormatting sqref="B122">
    <cfRule type="cellIs" dxfId="179" priority="23" operator="equal">
      <formula>""</formula>
    </cfRule>
  </conditionalFormatting>
  <conditionalFormatting sqref="B123">
    <cfRule type="cellIs" dxfId="178" priority="29" operator="equal">
      <formula>"n/a"</formula>
    </cfRule>
    <cfRule type="cellIs" dxfId="177" priority="30" operator="equal">
      <formula>""</formula>
    </cfRule>
  </conditionalFormatting>
  <conditionalFormatting sqref="B124">
    <cfRule type="cellIs" dxfId="176" priority="27" operator="equal">
      <formula>"n/a"</formula>
    </cfRule>
    <cfRule type="cellIs" dxfId="175" priority="28" operator="equal">
      <formula>""</formula>
    </cfRule>
  </conditionalFormatting>
  <conditionalFormatting sqref="B123:B124">
    <cfRule type="cellIs" dxfId="174" priority="26" operator="equal">
      <formula>""</formula>
    </cfRule>
  </conditionalFormatting>
  <conditionalFormatting sqref="B122">
    <cfRule type="cellIs" dxfId="173" priority="25" operator="equal">
      <formula>""</formula>
    </cfRule>
  </conditionalFormatting>
  <conditionalFormatting sqref="B121">
    <cfRule type="cellIs" dxfId="172" priority="22" operator="equal">
      <formula>"n/a"</formula>
    </cfRule>
  </conditionalFormatting>
  <conditionalFormatting sqref="B121">
    <cfRule type="cellIs" dxfId="171" priority="21" operator="equal">
      <formula>""</formula>
    </cfRule>
  </conditionalFormatting>
  <conditionalFormatting sqref="B146">
    <cfRule type="cellIs" dxfId="170" priority="14" operator="equal">
      <formula>"n/a"</formula>
    </cfRule>
  </conditionalFormatting>
  <conditionalFormatting sqref="B146">
    <cfRule type="cellIs" dxfId="169" priority="13" operator="equal">
      <formula>""</formula>
    </cfRule>
  </conditionalFormatting>
  <conditionalFormatting sqref="B147">
    <cfRule type="cellIs" dxfId="168" priority="19" operator="equal">
      <formula>"n/a"</formula>
    </cfRule>
    <cfRule type="cellIs" dxfId="167" priority="20" operator="equal">
      <formula>""</formula>
    </cfRule>
  </conditionalFormatting>
  <conditionalFormatting sqref="B148">
    <cfRule type="cellIs" dxfId="166" priority="17" operator="equal">
      <formula>"n/a"</formula>
    </cfRule>
    <cfRule type="cellIs" dxfId="165" priority="18" operator="equal">
      <formula>""</formula>
    </cfRule>
  </conditionalFormatting>
  <conditionalFormatting sqref="B147:B148">
    <cfRule type="cellIs" dxfId="164" priority="16" operator="equal">
      <formula>""</formula>
    </cfRule>
  </conditionalFormatting>
  <conditionalFormatting sqref="B146">
    <cfRule type="cellIs" dxfId="163" priority="15" operator="equal">
      <formula>""</formula>
    </cfRule>
  </conditionalFormatting>
  <conditionalFormatting sqref="B145">
    <cfRule type="cellIs" dxfId="162" priority="12" operator="equal">
      <formula>"n/a"</formula>
    </cfRule>
  </conditionalFormatting>
  <conditionalFormatting sqref="B145">
    <cfRule type="cellIs" dxfId="161" priority="11" operator="equal">
      <formula>""</formula>
    </cfRule>
  </conditionalFormatting>
  <conditionalFormatting sqref="B152">
    <cfRule type="cellIs" dxfId="160" priority="4" operator="equal">
      <formula>"n/a"</formula>
    </cfRule>
  </conditionalFormatting>
  <conditionalFormatting sqref="B152">
    <cfRule type="cellIs" dxfId="159" priority="3" operator="equal">
      <formula>""</formula>
    </cfRule>
  </conditionalFormatting>
  <conditionalFormatting sqref="B153">
    <cfRule type="cellIs" dxfId="158" priority="9" operator="equal">
      <formula>"n/a"</formula>
    </cfRule>
    <cfRule type="cellIs" dxfId="157" priority="10" operator="equal">
      <formula>""</formula>
    </cfRule>
  </conditionalFormatting>
  <conditionalFormatting sqref="B154">
    <cfRule type="cellIs" dxfId="156" priority="7" operator="equal">
      <formula>"n/a"</formula>
    </cfRule>
    <cfRule type="cellIs" dxfId="155" priority="8" operator="equal">
      <formula>""</formula>
    </cfRule>
  </conditionalFormatting>
  <conditionalFormatting sqref="B153:B154">
    <cfRule type="cellIs" dxfId="154" priority="6" operator="equal">
      <formula>""</formula>
    </cfRule>
  </conditionalFormatting>
  <conditionalFormatting sqref="B152">
    <cfRule type="cellIs" dxfId="153" priority="5" operator="equal">
      <formula>""</formula>
    </cfRule>
  </conditionalFormatting>
  <conditionalFormatting sqref="B151">
    <cfRule type="cellIs" dxfId="152" priority="2" operator="equal">
      <formula>"n/a"</formula>
    </cfRule>
  </conditionalFormatting>
  <conditionalFormatting sqref="B151">
    <cfRule type="cellIs" dxfId="151" priority="1" operator="equal">
      <formula>""</formula>
    </cfRule>
  </conditionalFormatting>
  <dataValidations count="4">
    <dataValidation allowBlank="1" showInputMessage="1" showErrorMessage="1" sqref="D247" xr:uid="{00000000-0002-0000-0100-000000000000}"/>
    <dataValidation type="textLength" operator="equal" allowBlank="1" showInputMessage="1" showErrorMessage="1" error="رقم الهوية 9 ارقام" sqref="D140 D110 D80 D50 B7 D243" xr:uid="{00000000-0002-0000-0100-000001000000}">
      <formula1>9</formula1>
    </dataValidation>
    <dataValidation type="list" allowBlank="1" showInputMessage="1" showErrorMessage="1" sqref="W243:W246" xr:uid="{00000000-0002-0000-0100-000002000000}">
      <formula1>$G$6:$G$8</formula1>
    </dataValidation>
    <dataValidation type="list" allowBlank="1" showInputMessage="1" showErrorMessage="1" sqref="B163 B157 B133 B127 B103 B97 B73 B67 B39 B33" xr:uid="{00000000-0002-0000-0100-000003000000}">
      <formula1>$X$2:$X$14</formula1>
    </dataValidation>
  </dataValidations>
  <printOptions horizontalCentered="1"/>
  <pageMargins left="0.7" right="0.7" top="1" bottom="0.75" header="0.3" footer="0.3"/>
  <pageSetup paperSize="9" scale="75" fitToWidth="11" fitToHeight="11" orientation="portrait" r:id="rId1"/>
  <headerFooter>
    <oddHeader>&amp;L&amp;G&amp;C&amp;"-,Bold"&amp;20توصية ائتمانية للافراد&amp;R
&amp;"-,Bold"&amp;F</oddHeader>
    <oddFooter>&amp;CPage &amp;P of &amp;N</oddFooter>
  </headerFooter>
  <rowBreaks count="2" manualBreakCount="2">
    <brk id="194" max="3" man="1"/>
    <brk id="297" max="3" man="1"/>
  </rowBreaks>
  <legacyDrawingHF r:id="rId2"/>
  <extLst>
    <ext xmlns:x14="http://schemas.microsoft.com/office/spreadsheetml/2009/9/main" uri="{78C0D931-6437-407d-A8EE-F0AAD7539E65}">
      <x14:conditionalFormattings>
        <x14:conditionalFormatting xmlns:xm="http://schemas.microsoft.com/office/excel/2006/main">
          <x14:cfRule type="expression" priority="2035" id="{4B589B1A-DAA1-4257-BE75-E8873002450E}">
            <xm:f>$B$279='بيانات للادخال'!$A$3</xm:f>
            <x14:dxf>
              <numFmt numFmtId="178" formatCode="[$₪-40D]\ #,##0"/>
            </x14:dxf>
          </x14:cfRule>
          <x14:cfRule type="expression" priority="2036" id="{D18F21C4-6D58-4FC4-8F4D-A658C1EBFF67}">
            <xm:f>$B$279='بيانات للادخال'!$A$2</xm:f>
            <x14:dxf>
              <numFmt numFmtId="177" formatCode="&quot;$&quot;#,##0"/>
            </x14:dxf>
          </x14:cfRule>
          <xm:sqref>B280:B284 B175 D170:D193 B193 B187 B181 B197:B198 D165 D159 D153 D147 D135 D129 D123 D117 D105 D99 D93 D75 D69 D63 B201:B202 D197:D198 D202 B204:B205 B208:B209 D204:D205 D209 B211:B212 B215:B216 D211:D212 D216 B218:B219 B222:B223 D218:D219 D223 B225:B226 B229:B230 D225:D226 D230 B291:C296 D284 D57 D41 D35 D23 B253:D258 C234:C238 B272:D276 D87</xm:sqref>
        </x14:conditionalFormatting>
        <x14:conditionalFormatting xmlns:xm="http://schemas.microsoft.com/office/excel/2006/main">
          <x14:cfRule type="expression" priority="303" id="{22E3594C-8292-4B8C-9896-7CFD52B936E3}">
            <xm:f>$A$415='معاير الائتمان'!$A$14</xm:f>
            <x14:dxf>
              <font>
                <b/>
                <i val="0"/>
                <color theme="9" tint="-0.499984740745262"/>
              </font>
            </x14:dxf>
          </x14:cfRule>
          <x14:cfRule type="expression" priority="304" id="{4EA74D5C-8625-42D1-8B42-4550B3F14E15}">
            <xm:f>$A$415='معاير الائتمان'!$A$1</xm:f>
            <x14:dxf>
              <font>
                <b/>
                <i val="0"/>
                <color rgb="FFC00000"/>
              </font>
            </x14:dxf>
          </x14:cfRule>
          <xm:sqref>A414:D414</xm:sqref>
        </x14:conditionalFormatting>
        <x14:conditionalFormatting xmlns:xm="http://schemas.microsoft.com/office/excel/2006/main">
          <x14:cfRule type="expression" priority="126" id="{25B5BF2B-CFB0-4FC6-9132-7396A562ECC2}">
            <xm:f>$B$279='بيانات للادخال'!$A$3</xm:f>
            <x14:dxf>
              <numFmt numFmtId="178" formatCode="[$₪-40D]\ #,##0"/>
            </x14:dxf>
          </x14:cfRule>
          <x14:cfRule type="expression" priority="127" id="{F37E4F88-2CB9-4DC7-8DAC-D839B369941A}">
            <xm:f>$B$279='بيانات للادخال'!$A$2</xm:f>
            <x14:dxf>
              <numFmt numFmtId="177" formatCode="&quot;$&quot;#,##0"/>
            </x14:dxf>
          </x14:cfRule>
          <xm:sqref>D29</xm:sqref>
        </x14:conditionalFormatting>
        <x14:conditionalFormatting xmlns:xm="http://schemas.microsoft.com/office/excel/2006/main">
          <x14:cfRule type="expression" priority="104" id="{E08E1C7D-DA2B-4EDE-9072-680F0448CB65}">
            <xm:f>$B$279='https://palijara-my.sharepoint.com/personal/waleed_kharoub_palijara_com/Documents/Desktop/waleed ijara/النموذج/[انس الجعافرة.xlsx]بيانات للادخال'!#REF!</xm:f>
            <x14:dxf>
              <numFmt numFmtId="178" formatCode="[$₪-40D]\ #,##0"/>
            </x14:dxf>
          </x14:cfRule>
          <x14:cfRule type="expression" priority="105" id="{93E38793-CC92-4012-9CBB-D54E9DC4F5BC}">
            <xm:f>$B$279='https://palijara-my.sharepoint.com/personal/waleed_kharoub_palijara_com/Documents/Desktop/waleed ijara/النموذج/[انس الجعافرة.xlsx]بيانات للادخال'!#REF!</xm:f>
            <x14:dxf>
              <numFmt numFmtId="177" formatCode="&quot;$&quot;#,##0"/>
            </x14:dxf>
          </x14:cfRule>
          <xm:sqref>B297:C298</xm:sqref>
        </x14:conditionalFormatting>
      </x14:conditionalFormattings>
    </ext>
    <ext xmlns:x14="http://schemas.microsoft.com/office/spreadsheetml/2009/9/main" uri="{CCE6A557-97BC-4b89-ADB6-D9C93CAAB3DF}">
      <x14:dataValidations xmlns:xm="http://schemas.microsoft.com/office/excel/2006/main" count="18">
        <x14:dataValidation type="list" allowBlank="1" showInputMessage="1" showErrorMessage="1" xr:uid="{00000000-0002-0000-0100-00000D000000}">
          <x14:formula1>
            <xm:f>'بيانات للادخال'!$G$2:$G$4</xm:f>
          </x14:formula1>
          <xm:sqref>D248</xm:sqref>
        </x14:dataValidation>
        <x14:dataValidation type="list" allowBlank="1" showInputMessage="1" showErrorMessage="1" xr:uid="{00000000-0002-0000-0100-00000E000000}">
          <x14:formula1>
            <xm:f>'بيانات للادخال'!$F$2:$F$4</xm:f>
          </x14:formula1>
          <xm:sqref>B248</xm:sqref>
        </x14:dataValidation>
        <x14:dataValidation type="list" allowBlank="1" showInputMessage="1" showErrorMessage="1" xr:uid="{00000000-0002-0000-0100-00000F000000}">
          <x14:formula1>
            <xm:f>'بيانات للادخال'!$AF$3:$AF$14</xm:f>
          </x14:formula1>
          <xm:sqref>B50 B80 B110 B140</xm:sqref>
        </x14:dataValidation>
        <x14:dataValidation type="list" allowBlank="1" showInputMessage="1" showErrorMessage="1" xr:uid="{00000000-0002-0000-0100-000010000000}">
          <x14:formula1>
            <xm:f>'بيانات للادخال'!$N$2:$N$4</xm:f>
          </x14:formula1>
          <xm:sqref>D7</xm:sqref>
        </x14:dataValidation>
        <x14:dataValidation type="list" allowBlank="1" showInputMessage="1" showErrorMessage="1" xr:uid="{00000000-0002-0000-0100-000011000000}">
          <x14:formula1>
            <xm:f>'بيانات للادخال'!$K$2:$K$3</xm:f>
          </x14:formula1>
          <xm:sqref>B246</xm:sqref>
        </x14:dataValidation>
        <x14:dataValidation type="list" allowBlank="1" showInputMessage="1" showErrorMessage="1" xr:uid="{00000000-0002-0000-0100-000012000000}">
          <x14:formula1>
            <xm:f>'بيانات للادخال'!$M$2:$M$3</xm:f>
          </x14:formula1>
          <xm:sqref>B245 D13 D166 B14 D36 D42 D58 D64 D70 D76 D88 D94 D100 D106 D118 D124 D130 D136 D148 D154 D160 D24 D245 D30</xm:sqref>
        </x14:dataValidation>
        <x14:dataValidation type="list" allowBlank="1" showInputMessage="1" showErrorMessage="1" xr:uid="{00000000-0002-0000-0100-000013000000}">
          <x14:formula1>
            <xm:f>'بيانات للادخال'!$A$2:$A$4</xm:f>
          </x14:formula1>
          <xm:sqref>B279 B249</xm:sqref>
        </x14:dataValidation>
        <x14:dataValidation type="list" allowBlank="1" showInputMessage="1" showErrorMessage="1" xr:uid="{00000000-0002-0000-0100-000014000000}">
          <x14:formula1>
            <xm:f>'بيانات للادخال'!$T$2:$T$13</xm:f>
          </x14:formula1>
          <xm:sqref>D2</xm:sqref>
        </x14:dataValidation>
        <x14:dataValidation type="list" allowBlank="1" showInputMessage="1" showErrorMessage="1" xr:uid="{00000000-0002-0000-0100-000015000000}">
          <x14:formula1>
            <xm:f>'بيانات للادخال'!$AF$2:$AF$12</xm:f>
          </x14:formula1>
          <xm:sqref>B244</xm:sqref>
        </x14:dataValidation>
        <x14:dataValidation type="list" allowBlank="1" showInputMessage="1" showErrorMessage="1" xr:uid="{00000000-0002-0000-0100-000016000000}">
          <x14:formula1>
            <xm:f>'بيانات للادخال'!$U$2:$U$4</xm:f>
          </x14:formula1>
          <xm:sqref>B22 B164 B158 B146 B122 B134 B128 B116 B92 B104 B98 B86 B62 B74 B68 B56 B28 B40 B34 B152</xm:sqref>
        </x14:dataValidation>
        <x14:dataValidation type="list" allowBlank="1" showInputMessage="1" showErrorMessage="1" xr:uid="{00000000-0002-0000-0100-000017000000}">
          <x14:formula1>
            <xm:f>'بيانات للادخال'!$R$2:$R$4</xm:f>
          </x14:formula1>
          <xm:sqref>B13</xm:sqref>
        </x14:dataValidation>
        <x14:dataValidation type="list" allowBlank="1" showInputMessage="1" showErrorMessage="1" xr:uid="{00000000-0002-0000-0100-000018000000}">
          <x14:formula1>
            <xm:f>'بيانات للادخال'!$L$2:$L$4</xm:f>
          </x14:formula1>
          <xm:sqref>D14</xm:sqref>
        </x14:dataValidation>
        <x14:dataValidation type="list" allowBlank="1" showInputMessage="1" showErrorMessage="1" xr:uid="{00000000-0002-0000-0100-000019000000}">
          <x14:formula1>
            <xm:f>'بيانات للادخال'!$J$2:$J$14</xm:f>
          </x14:formula1>
          <xm:sqref>D244</xm:sqref>
        </x14:dataValidation>
        <x14:dataValidation type="list" allowBlank="1" showInputMessage="1" showErrorMessage="1" xr:uid="{00000000-0002-0000-0100-00001A000000}">
          <x14:formula1>
            <xm:f>'بيانات للادخال'!$Q$2:$Q$4</xm:f>
          </x14:formula1>
          <xm:sqref>B9</xm:sqref>
        </x14:dataValidation>
        <x14:dataValidation type="list" allowBlank="1" showInputMessage="1" showErrorMessage="1" xr:uid="{00000000-0002-0000-0100-00001B000000}">
          <x14:formula1>
            <xm:f>'بيانات للادخال'!$P$2:$P$4</xm:f>
          </x14:formula1>
          <xm:sqref>D9</xm:sqref>
        </x14:dataValidation>
        <x14:dataValidation type="list" allowBlank="1" showInputMessage="1" showErrorMessage="1" xr:uid="{00000000-0002-0000-0100-00001C000000}">
          <x14:formula1>
            <xm:f>'بيانات للادخال'!$S$2:$S$6</xm:f>
          </x14:formula1>
          <xm:sqref>B234:B238</xm:sqref>
        </x14:dataValidation>
        <x14:dataValidation type="list" allowBlank="1" showInputMessage="1" showErrorMessage="1" xr:uid="{00000000-0002-0000-0100-00001D000000}">
          <x14:formula1>
            <xm:f>'بيانات للادخال'!$X$2:$X$14</xm:f>
          </x14:formula1>
          <xm:sqref>B21 B27 B55 B61 B85 B91 B115 B121 B145 B151</xm:sqref>
        </x14:dataValidation>
        <x14:dataValidation type="list" allowBlank="1" showInputMessage="1" showErrorMessage="1" xr:uid="{00000000-0002-0000-0100-00001E000000}">
          <x14:formula1>
            <xm:f>'بيانات للادخال'!$AA$2:$AA$14</xm:f>
          </x14:formula1>
          <xm:sqref>B10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C2102-1A22-4F92-8BBB-7F65BA185F42}">
  <dimension ref="A1:Z232"/>
  <sheetViews>
    <sheetView workbookViewId="0">
      <selection activeCell="B60" sqref="B60"/>
    </sheetView>
  </sheetViews>
  <sheetFormatPr defaultRowHeight="29.25"/>
  <cols>
    <col min="1" max="1" width="23.7109375" style="1794" customWidth="1"/>
    <col min="2" max="2" width="74.7109375" style="1794" customWidth="1"/>
    <col min="3" max="3" width="16.5703125" style="1794" customWidth="1"/>
    <col min="4" max="4" width="23.7109375" style="1794" bestFit="1" customWidth="1"/>
    <col min="5" max="5" width="16.5703125" style="1794" customWidth="1"/>
    <col min="6" max="6" width="64.7109375" style="1794" bestFit="1" customWidth="1"/>
    <col min="7" max="7" width="38.7109375" style="1794" bestFit="1" customWidth="1"/>
    <col min="8" max="8" width="16.140625" style="1794" customWidth="1"/>
    <col min="9" max="9" width="12.85546875" style="1793" customWidth="1"/>
    <col min="10" max="10" width="62.5703125" style="1794" customWidth="1"/>
    <col min="11" max="11" width="44.5703125" style="1794" bestFit="1" customWidth="1"/>
    <col min="12" max="12" width="78.140625" style="1794" bestFit="1" customWidth="1"/>
    <col min="13" max="13" width="65" style="1794" bestFit="1" customWidth="1"/>
    <col min="14" max="14" width="61.5703125" style="1794" hidden="1" customWidth="1"/>
    <col min="15" max="15" width="24" style="1794" hidden="1" customWidth="1"/>
    <col min="16" max="21" width="9" style="1794" hidden="1" customWidth="1"/>
    <col min="22" max="22" width="33" style="1794" bestFit="1" customWidth="1"/>
    <col min="23" max="23" width="22" style="1794" bestFit="1" customWidth="1"/>
    <col min="24" max="24" width="9" style="1794" customWidth="1"/>
    <col min="25" max="25" width="22.140625" style="1794" bestFit="1" customWidth="1"/>
    <col min="26" max="56" width="9" style="1794" customWidth="1"/>
    <col min="57" max="16384" width="9.140625" style="1794"/>
  </cols>
  <sheetData>
    <row r="1" spans="1:26" ht="27" customHeight="1" thickBot="1">
      <c r="A1" s="1789" t="s">
        <v>1715</v>
      </c>
      <c r="B1" s="1790"/>
      <c r="C1" s="1790"/>
      <c r="D1" s="1790"/>
      <c r="E1" s="1791" t="str">
        <f>IF(C26&gt;=61%,"E",IF(C26&gt;=20%,"D",IF(C26&gt;8%,"C",IF(C26&gt;=5%,"B",IF(C26&gt;=4%,"A","A")))))</f>
        <v>B</v>
      </c>
      <c r="F1" s="1792"/>
      <c r="G1" s="1792"/>
      <c r="H1" s="1793"/>
    </row>
    <row r="2" spans="1:26" s="1793" customFormat="1" ht="27" customHeight="1" thickBot="1">
      <c r="A2" s="1795" t="s">
        <v>1716</v>
      </c>
      <c r="B2" s="1796"/>
      <c r="C2" s="1797">
        <f ca="1" xml:space="preserve"> NOW()</f>
        <v>44384.42003252315</v>
      </c>
      <c r="D2" s="1798"/>
      <c r="E2" s="1799"/>
      <c r="F2" s="1792"/>
      <c r="G2" s="1792"/>
    </row>
    <row r="3" spans="1:26" ht="27" customHeight="1" thickBot="1">
      <c r="A3" s="1800" t="s">
        <v>1717</v>
      </c>
      <c r="B3" s="1800" t="s">
        <v>1718</v>
      </c>
      <c r="C3" s="1801" t="s">
        <v>1719</v>
      </c>
      <c r="D3" s="1801"/>
      <c r="E3" s="1802"/>
      <c r="F3" s="1792"/>
      <c r="G3" s="1792"/>
      <c r="H3" s="1793"/>
      <c r="J3" s="1793"/>
      <c r="K3" s="1793"/>
      <c r="L3" s="1793"/>
      <c r="M3" s="1803"/>
      <c r="N3" s="1804"/>
      <c r="V3" s="1805"/>
      <c r="W3" s="1805"/>
      <c r="X3" s="1805"/>
      <c r="Y3" s="1805"/>
      <c r="Z3" s="1805"/>
    </row>
    <row r="4" spans="1:26" s="1805" customFormat="1" ht="28.5" customHeight="1">
      <c r="A4" s="1806" t="s">
        <v>1720</v>
      </c>
      <c r="B4" s="1807" t="s">
        <v>1721</v>
      </c>
      <c r="C4" s="1808" t="s">
        <v>1722</v>
      </c>
      <c r="D4" s="1809"/>
      <c r="E4" s="1810"/>
      <c r="F4" s="1792" t="str">
        <f>C4</f>
        <v>More than 10 years</v>
      </c>
      <c r="G4" s="1792"/>
      <c r="H4" s="1793"/>
      <c r="I4" s="1793"/>
      <c r="J4" s="1793"/>
      <c r="K4" s="1793"/>
      <c r="L4" s="1793"/>
      <c r="M4" s="1811"/>
      <c r="N4" s="1811"/>
      <c r="O4" s="1812"/>
    </row>
    <row r="5" spans="1:26" s="1805" customFormat="1" ht="28.5" customHeight="1">
      <c r="A5" s="1806"/>
      <c r="B5" s="1813" t="s">
        <v>1723</v>
      </c>
      <c r="C5" s="1814" t="s">
        <v>499</v>
      </c>
      <c r="D5" s="1815"/>
      <c r="E5" s="1816"/>
      <c r="F5" s="1792" t="str">
        <f t="shared" ref="F5:F15" si="0">C5</f>
        <v>D</v>
      </c>
      <c r="G5" s="1792"/>
      <c r="H5" s="1817"/>
      <c r="I5" s="1793"/>
      <c r="J5" s="1793"/>
      <c r="K5" s="1793"/>
      <c r="L5" s="1793"/>
      <c r="M5" s="1811"/>
      <c r="N5" s="1811"/>
      <c r="O5" s="1812"/>
    </row>
    <row r="6" spans="1:26" s="1805" customFormat="1" ht="28.5" customHeight="1">
      <c r="A6" s="1806"/>
      <c r="B6" s="1807" t="s">
        <v>1725</v>
      </c>
      <c r="C6" s="1818" t="s">
        <v>219</v>
      </c>
      <c r="D6" s="1809"/>
      <c r="E6" s="1810"/>
      <c r="F6" s="1792" t="str">
        <f t="shared" si="0"/>
        <v>No</v>
      </c>
      <c r="G6" s="1792"/>
      <c r="H6" s="1817"/>
      <c r="I6" s="1793"/>
      <c r="J6" s="1793"/>
      <c r="K6" s="1793"/>
      <c r="L6" s="1793"/>
      <c r="M6" s="1811"/>
      <c r="N6" s="1811"/>
      <c r="O6" s="1812"/>
    </row>
    <row r="7" spans="1:26" s="1805" customFormat="1" ht="28.5" customHeight="1">
      <c r="A7" s="1806"/>
      <c r="B7" s="1819" t="s">
        <v>1726</v>
      </c>
      <c r="C7" s="1814" t="s">
        <v>219</v>
      </c>
      <c r="D7" s="1815"/>
      <c r="E7" s="1816"/>
      <c r="F7" s="1792" t="str">
        <f t="shared" si="0"/>
        <v>No</v>
      </c>
      <c r="G7" s="1792"/>
      <c r="H7" s="1817"/>
      <c r="I7" s="1793"/>
      <c r="J7" s="1793"/>
      <c r="K7" s="1793"/>
      <c r="L7" s="1793"/>
      <c r="M7" s="1811"/>
      <c r="N7" s="1811"/>
      <c r="O7" s="1812"/>
    </row>
    <row r="8" spans="1:26" s="1805" customFormat="1" ht="28.5" customHeight="1">
      <c r="A8" s="1806"/>
      <c r="B8" s="1820" t="s">
        <v>1727</v>
      </c>
      <c r="C8" s="1808" t="s">
        <v>219</v>
      </c>
      <c r="D8" s="1808"/>
      <c r="E8" s="1821"/>
      <c r="F8" s="1792" t="str">
        <f t="shared" si="0"/>
        <v>No</v>
      </c>
      <c r="G8" s="1792"/>
      <c r="H8" s="1817"/>
      <c r="I8" s="1793"/>
      <c r="J8" s="1793"/>
      <c r="K8" s="1793"/>
      <c r="L8" s="1793"/>
      <c r="M8" s="1811"/>
      <c r="N8" s="1811"/>
    </row>
    <row r="9" spans="1:26" s="1805" customFormat="1" ht="28.5" customHeight="1">
      <c r="A9" s="1806"/>
      <c r="B9" s="1822" t="s">
        <v>1728</v>
      </c>
      <c r="C9" s="1814" t="s">
        <v>1729</v>
      </c>
      <c r="D9" s="1815"/>
      <c r="E9" s="1816"/>
      <c r="F9" s="1792" t="str">
        <f t="shared" si="0"/>
        <v>Committed to payment</v>
      </c>
      <c r="G9" s="1792"/>
      <c r="H9" s="1817"/>
      <c r="I9" s="1823"/>
      <c r="J9" s="1793"/>
      <c r="K9" s="1793"/>
      <c r="L9" s="1793"/>
      <c r="M9" s="1811"/>
      <c r="N9" s="1811"/>
    </row>
    <row r="10" spans="1:26" s="1805" customFormat="1" ht="28.5" customHeight="1">
      <c r="A10" s="1806"/>
      <c r="B10" s="1820" t="s">
        <v>1730</v>
      </c>
      <c r="C10" s="1824" t="s">
        <v>219</v>
      </c>
      <c r="D10" s="1809"/>
      <c r="E10" s="1810"/>
      <c r="F10" s="1792" t="str">
        <f t="shared" si="0"/>
        <v>No</v>
      </c>
      <c r="G10" s="1792"/>
      <c r="H10" s="1817"/>
      <c r="I10" s="1817"/>
      <c r="J10" s="1793"/>
      <c r="K10" s="1793"/>
      <c r="L10" s="1793"/>
      <c r="M10" s="1811"/>
      <c r="N10" s="1811"/>
    </row>
    <row r="11" spans="1:26" s="1805" customFormat="1" ht="28.5" customHeight="1">
      <c r="A11" s="1806"/>
      <c r="B11" s="1825" t="s">
        <v>1731</v>
      </c>
      <c r="C11" s="1814" t="s">
        <v>219</v>
      </c>
      <c r="D11" s="1815"/>
      <c r="E11" s="1816"/>
      <c r="F11" s="1792" t="str">
        <f t="shared" si="0"/>
        <v>No</v>
      </c>
      <c r="G11" s="1792"/>
      <c r="I11" s="1817"/>
      <c r="J11" s="1793"/>
      <c r="K11" s="1793"/>
      <c r="L11" s="1793"/>
      <c r="M11" s="1811"/>
      <c r="N11" s="1811"/>
    </row>
    <row r="12" spans="1:26" s="1805" customFormat="1" ht="28.5" customHeight="1">
      <c r="A12" s="1806"/>
      <c r="B12" s="1820" t="s">
        <v>1732</v>
      </c>
      <c r="C12" s="1826" t="s">
        <v>219</v>
      </c>
      <c r="D12" s="1809"/>
      <c r="E12" s="1810"/>
      <c r="F12" s="1792" t="str">
        <f t="shared" si="0"/>
        <v>No</v>
      </c>
      <c r="G12" s="1792"/>
      <c r="I12" s="1817"/>
      <c r="J12" s="1793"/>
      <c r="K12" s="1793"/>
      <c r="L12" s="1793"/>
      <c r="M12" s="1811"/>
      <c r="N12" s="1811"/>
    </row>
    <row r="13" spans="1:26" s="1805" customFormat="1" ht="28.5" customHeight="1">
      <c r="A13" s="1806"/>
      <c r="B13" s="1822" t="s">
        <v>1733</v>
      </c>
      <c r="C13" s="1827" t="s">
        <v>1734</v>
      </c>
      <c r="D13" s="1828"/>
      <c r="E13" s="1829"/>
      <c r="F13" s="1792" t="str">
        <f t="shared" si="0"/>
        <v>Good</v>
      </c>
      <c r="G13" s="1792"/>
      <c r="I13" s="1817"/>
      <c r="J13" s="1793"/>
      <c r="K13" s="1793"/>
      <c r="L13" s="1793"/>
      <c r="M13" s="1811"/>
      <c r="N13" s="1811"/>
    </row>
    <row r="14" spans="1:26" s="1805" customFormat="1" ht="28.5" customHeight="1">
      <c r="A14" s="1806"/>
      <c r="B14" s="1830" t="s">
        <v>1735</v>
      </c>
      <c r="C14" s="1824" t="s">
        <v>1736</v>
      </c>
      <c r="D14" s="1809"/>
      <c r="E14" s="1810"/>
      <c r="F14" s="1792" t="str">
        <f t="shared" si="0"/>
        <v>Debt to capital ratio is medium</v>
      </c>
      <c r="G14" s="1792"/>
      <c r="I14" s="1817"/>
      <c r="J14" s="1793"/>
      <c r="K14" s="1793"/>
      <c r="L14" s="1793"/>
      <c r="M14" s="1811"/>
      <c r="N14" s="1811"/>
    </row>
    <row r="15" spans="1:26" s="1805" customFormat="1" ht="28.5" customHeight="1" thickBot="1">
      <c r="A15" s="1831"/>
      <c r="B15" s="1822" t="s">
        <v>1737</v>
      </c>
      <c r="C15" s="1832" t="s">
        <v>219</v>
      </c>
      <c r="D15" s="1832"/>
      <c r="E15" s="1833"/>
      <c r="F15" s="1792" t="str">
        <f t="shared" si="0"/>
        <v>No</v>
      </c>
      <c r="G15" s="1792"/>
      <c r="I15" s="1817"/>
      <c r="J15" s="1793"/>
      <c r="K15" s="1793"/>
      <c r="L15" s="1793"/>
      <c r="M15" s="1811"/>
      <c r="N15" s="1811"/>
    </row>
    <row r="16" spans="1:26" s="1805" customFormat="1" ht="28.5" customHeight="1" thickBot="1">
      <c r="A16" s="1834" t="s">
        <v>1738</v>
      </c>
      <c r="B16" s="1835"/>
      <c r="C16" s="1836"/>
      <c r="D16" s="1837"/>
      <c r="E16" s="1838"/>
      <c r="F16" s="1792"/>
      <c r="G16" s="1792"/>
      <c r="I16" s="1817"/>
      <c r="J16" s="1793"/>
      <c r="K16" s="1793"/>
      <c r="L16" s="1793"/>
      <c r="M16" s="1811"/>
      <c r="N16" s="1811"/>
    </row>
    <row r="17" spans="1:14" s="1805" customFormat="1" ht="28.5" customHeight="1">
      <c r="A17" s="1839" t="s">
        <v>1739</v>
      </c>
      <c r="B17" s="1840" t="s">
        <v>1740</v>
      </c>
      <c r="C17" s="1841" t="s">
        <v>1741</v>
      </c>
      <c r="D17" s="1842" t="s">
        <v>1742</v>
      </c>
      <c r="E17" s="1843" t="s">
        <v>1743</v>
      </c>
      <c r="F17" s="1793"/>
      <c r="G17" s="1793"/>
      <c r="H17" s="1817"/>
      <c r="I17" s="1817"/>
      <c r="J17" s="1793"/>
      <c r="K17" s="1793"/>
      <c r="L17" s="1793"/>
      <c r="M17" s="1803"/>
      <c r="N17" s="1811"/>
    </row>
    <row r="18" spans="1:14" s="1805" customFormat="1" ht="28.5" customHeight="1">
      <c r="A18" s="1844"/>
      <c r="B18" s="1845" t="s">
        <v>1744</v>
      </c>
      <c r="C18" s="1846">
        <v>840000</v>
      </c>
      <c r="D18" s="1847">
        <f>VLOOKUP(B18,F:H,3,FALSE)*C18</f>
        <v>588000</v>
      </c>
      <c r="E18" s="1848">
        <f>VLOOKUP(B18,F:I,4,FALSE)*C18</f>
        <v>0</v>
      </c>
      <c r="F18" s="1793"/>
      <c r="G18" s="1793"/>
      <c r="H18" s="1817"/>
      <c r="I18" s="1817"/>
      <c r="J18" s="1793"/>
      <c r="K18" s="1793"/>
      <c r="L18" s="1793"/>
      <c r="M18" s="1803"/>
      <c r="N18" s="1811"/>
    </row>
    <row r="19" spans="1:14" s="1805" customFormat="1" ht="28.5" customHeight="1">
      <c r="A19" s="1844"/>
      <c r="B19" s="1849" t="s">
        <v>1744</v>
      </c>
      <c r="C19" s="1850">
        <v>0</v>
      </c>
      <c r="D19" s="1851">
        <f>VLOOKUP(B19,F:H,3,FALSE)*C19</f>
        <v>0</v>
      </c>
      <c r="E19" s="1852">
        <f>VLOOKUP(B19,F:I,4,FALSE)*C19</f>
        <v>0</v>
      </c>
      <c r="F19" s="1793"/>
      <c r="G19" s="1793"/>
      <c r="H19" s="1817"/>
      <c r="I19" s="1817"/>
      <c r="J19" s="1793"/>
      <c r="K19" s="1793"/>
      <c r="L19" s="1793"/>
      <c r="M19" s="1803"/>
      <c r="N19" s="1811"/>
    </row>
    <row r="20" spans="1:14" s="1805" customFormat="1" ht="28.5" customHeight="1">
      <c r="A20" s="1844"/>
      <c r="B20" s="1845" t="s">
        <v>1745</v>
      </c>
      <c r="C20" s="1846">
        <v>0</v>
      </c>
      <c r="D20" s="1847">
        <f>VLOOKUP(B20,F:H,3,FALSE)*C20</f>
        <v>0</v>
      </c>
      <c r="E20" s="1848">
        <f>VLOOKUP(B20,F:I,4,FALSE)*C20</f>
        <v>0</v>
      </c>
      <c r="F20" s="1793"/>
      <c r="G20" s="1793"/>
      <c r="H20" s="1817"/>
      <c r="I20" s="1817"/>
      <c r="J20" s="1793"/>
      <c r="K20" s="1793"/>
      <c r="L20" s="1793"/>
      <c r="M20" s="1803"/>
      <c r="N20" s="1811"/>
    </row>
    <row r="21" spans="1:14" s="1805" customFormat="1" ht="28.5" customHeight="1">
      <c r="A21" s="1844"/>
      <c r="B21" s="1849" t="s">
        <v>1746</v>
      </c>
      <c r="C21" s="1850">
        <v>0</v>
      </c>
      <c r="D21" s="1851">
        <f>VLOOKUP(B21,F:H,3,FALSE)*C21</f>
        <v>0</v>
      </c>
      <c r="E21" s="1852">
        <f>VLOOKUP(B21,F:I,4,FALSE)*C21</f>
        <v>0</v>
      </c>
      <c r="F21" s="1793"/>
      <c r="G21" s="1793"/>
      <c r="H21" s="1817"/>
      <c r="I21" s="1817"/>
      <c r="J21" s="1793"/>
      <c r="K21" s="1793"/>
      <c r="L21" s="1793"/>
      <c r="M21" s="1803"/>
      <c r="N21" s="1811"/>
    </row>
    <row r="22" spans="1:14" s="1805" customFormat="1" ht="28.5" customHeight="1">
      <c r="A22" s="1844"/>
      <c r="B22" s="1853"/>
      <c r="C22" s="1854">
        <f>SUM(C18:C21)</f>
        <v>840000</v>
      </c>
      <c r="D22" s="1855">
        <f>SUM(D18:D21)</f>
        <v>588000</v>
      </c>
      <c r="E22" s="1848">
        <f>SUM(E18:E21)</f>
        <v>0</v>
      </c>
      <c r="F22" s="1793"/>
      <c r="G22" s="1793"/>
      <c r="H22" s="1817"/>
      <c r="I22" s="1793"/>
      <c r="J22" s="1793"/>
      <c r="K22" s="1793"/>
      <c r="L22" s="1793"/>
      <c r="M22" s="1803"/>
      <c r="N22" s="1811"/>
    </row>
    <row r="23" spans="1:14" s="1805" customFormat="1" ht="28.5" customHeight="1">
      <c r="A23" s="1844"/>
      <c r="B23" s="1856"/>
      <c r="C23" s="1857">
        <f>C22/C27</f>
        <v>1.2</v>
      </c>
      <c r="D23" s="1858">
        <f>D22/C27</f>
        <v>0.84</v>
      </c>
      <c r="E23" s="1859">
        <f>E22/C27</f>
        <v>0</v>
      </c>
      <c r="F23" s="1793"/>
      <c r="G23" s="1793"/>
      <c r="H23" s="1793"/>
      <c r="I23" s="1793"/>
      <c r="J23" s="1793"/>
      <c r="K23" s="1793"/>
      <c r="L23" s="1793"/>
      <c r="M23" s="1803"/>
      <c r="N23" s="1811"/>
    </row>
    <row r="24" spans="1:14" s="1805" customFormat="1" ht="28.5" customHeight="1" thickBot="1">
      <c r="A24" s="1860" t="s">
        <v>1747</v>
      </c>
      <c r="B24" s="1861"/>
      <c r="C24" s="1862"/>
      <c r="D24" s="1863"/>
      <c r="E24" s="1864"/>
      <c r="F24" s="1793"/>
      <c r="G24" s="1793"/>
      <c r="H24" s="1793"/>
      <c r="I24" s="1793"/>
      <c r="J24" s="1793"/>
      <c r="K24" s="1793"/>
      <c r="L24" s="1793"/>
      <c r="M24" s="1803"/>
      <c r="N24" s="1811"/>
    </row>
    <row r="25" spans="1:14" s="1805" customFormat="1" ht="28.5" customHeight="1">
      <c r="A25" s="1839" t="s">
        <v>1748</v>
      </c>
      <c r="B25" s="1865" t="s">
        <v>1749</v>
      </c>
      <c r="C25" s="1866">
        <f>C26*C27*C29</f>
        <v>5600</v>
      </c>
      <c r="D25" s="1866"/>
      <c r="E25" s="1867"/>
      <c r="F25" s="1793"/>
      <c r="G25" s="1793"/>
      <c r="H25" s="1793"/>
      <c r="I25" s="1793"/>
      <c r="J25" s="1793"/>
      <c r="K25" s="1793"/>
      <c r="L25" s="1793"/>
      <c r="M25" s="1803"/>
      <c r="N25" s="1811"/>
    </row>
    <row r="26" spans="1:14" ht="28.5" customHeight="1">
      <c r="A26" s="1844"/>
      <c r="B26" s="1868" t="s">
        <v>1750</v>
      </c>
      <c r="C26" s="1869">
        <f>[7]الاحتمالية!E15</f>
        <v>0.05</v>
      </c>
      <c r="D26" s="1869"/>
      <c r="E26" s="1870"/>
      <c r="F26" s="1793"/>
      <c r="G26" s="1793"/>
      <c r="H26" s="1817"/>
      <c r="J26" s="1793"/>
    </row>
    <row r="27" spans="1:14" ht="28.5" customHeight="1">
      <c r="A27" s="1844"/>
      <c r="B27" s="1871" t="s">
        <v>1751</v>
      </c>
      <c r="C27" s="1872">
        <v>700000</v>
      </c>
      <c r="D27" s="1872"/>
      <c r="E27" s="1873"/>
      <c r="F27" s="1793" t="s">
        <v>1752</v>
      </c>
      <c r="G27" s="1793"/>
      <c r="H27" s="1817"/>
      <c r="J27" s="1793"/>
    </row>
    <row r="28" spans="1:14" ht="28.5" customHeight="1">
      <c r="A28" s="1844"/>
      <c r="B28" s="1874" t="s">
        <v>1753</v>
      </c>
      <c r="C28" s="1875">
        <f>C27-D22</f>
        <v>112000</v>
      </c>
      <c r="D28" s="1875"/>
      <c r="E28" s="1876"/>
      <c r="F28" s="1793" t="s">
        <v>1754</v>
      </c>
      <c r="G28" s="1793"/>
      <c r="H28" s="1817"/>
      <c r="J28" s="1793"/>
    </row>
    <row r="29" spans="1:14" ht="28.5" customHeight="1" thickBot="1">
      <c r="A29" s="1877"/>
      <c r="B29" s="1878" t="s">
        <v>1755</v>
      </c>
      <c r="C29" s="1879">
        <f>C28/C27</f>
        <v>0.16</v>
      </c>
      <c r="D29" s="1879"/>
      <c r="E29" s="1880"/>
      <c r="F29" s="1793"/>
      <c r="G29" s="1793"/>
      <c r="H29" s="1817"/>
      <c r="J29" s="1793"/>
    </row>
    <row r="30" spans="1:14" ht="28.5" customHeight="1" thickBot="1">
      <c r="A30" s="1881" t="s">
        <v>1756</v>
      </c>
      <c r="B30" s="1882" t="s">
        <v>1757</v>
      </c>
      <c r="C30" s="1883" t="s">
        <v>1758</v>
      </c>
      <c r="D30" s="1884"/>
      <c r="E30" s="1885"/>
      <c r="F30" s="1793"/>
      <c r="G30" s="1793"/>
      <c r="H30" s="1817"/>
      <c r="J30" s="1793"/>
    </row>
    <row r="31" spans="1:14" ht="28.5" customHeight="1" thickBot="1">
      <c r="A31" s="1886" t="s">
        <v>1759</v>
      </c>
      <c r="B31" s="1887"/>
      <c r="C31" s="1888"/>
      <c r="D31" s="1889"/>
      <c r="E31" s="1890"/>
      <c r="F31" s="1793"/>
      <c r="G31" s="1793"/>
      <c r="H31" s="1817"/>
      <c r="J31" s="1793"/>
    </row>
    <row r="32" spans="1:14" ht="28.5" customHeight="1">
      <c r="A32" s="1839" t="s">
        <v>1760</v>
      </c>
      <c r="B32" s="1891" t="s">
        <v>1761</v>
      </c>
      <c r="C32" s="1892" t="s">
        <v>1762</v>
      </c>
      <c r="D32" s="1893"/>
      <c r="E32" s="1894">
        <v>0.3</v>
      </c>
      <c r="F32" s="1793"/>
      <c r="G32" s="1793"/>
      <c r="H32" s="1817"/>
      <c r="J32" s="1793"/>
    </row>
    <row r="33" spans="1:10" ht="28.5" customHeight="1">
      <c r="A33" s="1844"/>
      <c r="B33" s="1820" t="s">
        <v>1763</v>
      </c>
      <c r="C33" s="1895" t="s">
        <v>1764</v>
      </c>
      <c r="D33" s="1896"/>
      <c r="E33" s="1897">
        <v>0.11</v>
      </c>
      <c r="F33" s="1793"/>
      <c r="G33" s="1793"/>
      <c r="H33" s="1817"/>
      <c r="J33" s="1793"/>
    </row>
    <row r="34" spans="1:10" ht="28.5" customHeight="1">
      <c r="A34" s="1844"/>
      <c r="B34" s="1898" t="s">
        <v>1765</v>
      </c>
      <c r="C34" s="1899" t="s">
        <v>1766</v>
      </c>
      <c r="D34" s="1900"/>
      <c r="E34" s="1901"/>
      <c r="F34" s="1793"/>
      <c r="G34" s="1793"/>
      <c r="H34" s="1817"/>
      <c r="J34" s="1793"/>
    </row>
    <row r="35" spans="1:10" ht="28.5" customHeight="1">
      <c r="A35" s="1844"/>
      <c r="B35" s="1902" t="s">
        <v>1767</v>
      </c>
      <c r="C35" s="1903" t="s">
        <v>1768</v>
      </c>
      <c r="D35" s="1808"/>
      <c r="E35" s="1821"/>
      <c r="F35" s="1793"/>
      <c r="G35" s="1793"/>
      <c r="H35" s="1817"/>
      <c r="J35" s="1793"/>
    </row>
    <row r="36" spans="1:10" ht="28.5" customHeight="1">
      <c r="A36" s="1844"/>
      <c r="B36" s="1898" t="s">
        <v>1769</v>
      </c>
      <c r="C36" s="1904" t="s">
        <v>1770</v>
      </c>
      <c r="D36" s="1814"/>
      <c r="E36" s="1905"/>
      <c r="F36" s="1793"/>
      <c r="G36" s="1793"/>
      <c r="H36" s="1817"/>
      <c r="J36" s="1793"/>
    </row>
    <row r="37" spans="1:10" ht="28.5" customHeight="1" thickBot="1">
      <c r="A37" s="1877"/>
      <c r="B37" s="1906" t="s">
        <v>1771</v>
      </c>
      <c r="C37" s="1907" t="s">
        <v>1772</v>
      </c>
      <c r="D37" s="1908"/>
      <c r="E37" s="1909"/>
      <c r="F37" s="1793"/>
      <c r="G37" s="1793"/>
      <c r="H37" s="1817"/>
      <c r="J37" s="1793"/>
    </row>
    <row r="38" spans="1:10" ht="176.25" customHeight="1" thickBot="1">
      <c r="A38" s="1910" t="s">
        <v>1773</v>
      </c>
      <c r="B38" s="1911"/>
      <c r="C38" s="1912"/>
      <c r="D38" s="1912"/>
      <c r="E38" s="1913"/>
      <c r="F38" s="1792"/>
      <c r="G38" s="1792"/>
      <c r="H38" s="1817"/>
    </row>
    <row r="39" spans="1:10" ht="22.5" customHeight="1" thickBot="1">
      <c r="A39" s="1914" t="s">
        <v>1774</v>
      </c>
      <c r="B39" s="1915"/>
      <c r="C39" s="1915"/>
      <c r="D39" s="1915"/>
      <c r="E39" s="1916"/>
      <c r="F39" s="1792"/>
      <c r="G39" s="1792"/>
      <c r="H39" s="1817"/>
    </row>
    <row r="40" spans="1:10" s="1920" customFormat="1" ht="22.5" customHeight="1" thickBot="1">
      <c r="A40" s="1917" t="s">
        <v>1775</v>
      </c>
      <c r="B40" s="1917" t="s">
        <v>1776</v>
      </c>
      <c r="C40" s="1918" t="s">
        <v>1777</v>
      </c>
      <c r="D40" s="1919"/>
      <c r="E40" s="1917" t="s">
        <v>1778</v>
      </c>
      <c r="F40" s="1792"/>
      <c r="G40" s="1792"/>
      <c r="H40" s="1817"/>
      <c r="I40" s="1793"/>
    </row>
    <row r="41" spans="1:10" ht="22.5" customHeight="1" thickBot="1">
      <c r="A41" s="1921"/>
      <c r="B41" s="1922"/>
      <c r="C41" s="1918"/>
      <c r="D41" s="1919"/>
      <c r="E41" s="1922"/>
      <c r="F41" s="1792"/>
      <c r="G41" s="1792"/>
      <c r="H41" s="1817"/>
    </row>
    <row r="42" spans="1:10" ht="36.75" customHeight="1">
      <c r="A42" s="1923" t="s">
        <v>1779</v>
      </c>
      <c r="B42" s="1924"/>
      <c r="C42" s="1924"/>
      <c r="D42" s="1924"/>
      <c r="E42" s="1925"/>
      <c r="F42" s="1792"/>
      <c r="G42" s="1792"/>
      <c r="H42" s="1817"/>
    </row>
    <row r="43" spans="1:10" s="1920" customFormat="1" ht="86.25" customHeight="1">
      <c r="A43" s="1926"/>
      <c r="B43" s="1927"/>
      <c r="C43" s="1927"/>
      <c r="D43" s="1927"/>
      <c r="E43" s="1928"/>
      <c r="F43" s="1792"/>
      <c r="G43" s="1792"/>
      <c r="H43" s="1793"/>
      <c r="I43" s="1793"/>
    </row>
    <row r="44" spans="1:10" ht="28.5" customHeight="1">
      <c r="A44" s="1931" t="s">
        <v>1780</v>
      </c>
      <c r="B44" s="1932"/>
      <c r="C44" s="1932"/>
      <c r="D44" s="1932"/>
      <c r="E44" s="1933"/>
      <c r="F44" s="1792"/>
      <c r="G44" s="1792"/>
    </row>
    <row r="45" spans="1:10" s="1920" customFormat="1" ht="28.5" customHeight="1">
      <c r="A45" s="1934"/>
      <c r="B45" s="1935"/>
      <c r="C45" s="1935"/>
      <c r="D45" s="1935"/>
      <c r="E45" s="1936"/>
      <c r="F45" s="1792"/>
      <c r="G45" s="1792"/>
      <c r="H45" s="1929"/>
      <c r="I45" s="1793"/>
    </row>
    <row r="46" spans="1:10" ht="28.5" customHeight="1">
      <c r="A46" s="1934"/>
      <c r="B46" s="1935"/>
      <c r="C46" s="1935"/>
      <c r="D46" s="1935"/>
      <c r="E46" s="1936"/>
      <c r="F46" s="1792"/>
      <c r="G46" s="1792"/>
      <c r="H46" s="1929"/>
    </row>
    <row r="47" spans="1:10" ht="28.5" customHeight="1">
      <c r="A47" s="1934"/>
      <c r="B47" s="1935"/>
      <c r="C47" s="1935"/>
      <c r="D47" s="1935"/>
      <c r="E47" s="1936"/>
      <c r="F47" s="1792"/>
      <c r="G47" s="1792"/>
      <c r="H47" s="1929"/>
    </row>
    <row r="48" spans="1:10" ht="28.5" customHeight="1">
      <c r="A48" s="1934"/>
      <c r="B48" s="1935"/>
      <c r="C48" s="1935"/>
      <c r="D48" s="1935"/>
      <c r="E48" s="1936"/>
      <c r="F48" s="1792"/>
      <c r="G48" s="1792"/>
      <c r="H48" s="1930"/>
      <c r="I48" s="1937"/>
    </row>
    <row r="49" spans="1:15" ht="28.5" customHeight="1">
      <c r="A49" s="1931" t="s">
        <v>1988</v>
      </c>
      <c r="B49" s="1932"/>
      <c r="C49" s="1932"/>
      <c r="D49" s="1932"/>
      <c r="E49" s="1933"/>
      <c r="F49" s="1792"/>
      <c r="G49" s="1792"/>
    </row>
    <row r="50" spans="1:15" ht="28.5" customHeight="1">
      <c r="A50" s="1938"/>
      <c r="B50" s="1939"/>
      <c r="C50" s="1939"/>
      <c r="D50" s="1939"/>
      <c r="E50" s="1940"/>
      <c r="F50" s="1792"/>
      <c r="G50" s="1792"/>
    </row>
    <row r="51" spans="1:15" ht="28.5" customHeight="1">
      <c r="A51" s="1938"/>
      <c r="B51" s="1939"/>
      <c r="C51" s="1939"/>
      <c r="D51" s="1939"/>
      <c r="E51" s="1940"/>
      <c r="F51" s="1792"/>
      <c r="G51" s="1792"/>
    </row>
    <row r="52" spans="1:15" ht="28.5" customHeight="1">
      <c r="A52" s="1938"/>
      <c r="B52" s="1939"/>
      <c r="C52" s="1939"/>
      <c r="D52" s="1939"/>
      <c r="E52" s="1940"/>
      <c r="F52" s="1792"/>
      <c r="G52" s="1792"/>
    </row>
    <row r="53" spans="1:15" ht="28.5" customHeight="1">
      <c r="A53" s="1931" t="s">
        <v>1781</v>
      </c>
      <c r="B53" s="1932"/>
      <c r="C53" s="1932"/>
      <c r="D53" s="1932"/>
      <c r="E53" s="1933"/>
      <c r="F53" s="1792"/>
      <c r="G53" s="1792"/>
      <c r="H53" s="1920"/>
    </row>
    <row r="54" spans="1:15" ht="28.5" customHeight="1">
      <c r="A54" s="1934"/>
      <c r="B54" s="1935"/>
      <c r="C54" s="1935"/>
      <c r="D54" s="1935"/>
      <c r="E54" s="1936"/>
      <c r="F54" s="1792"/>
      <c r="G54" s="1792"/>
      <c r="O54" s="1793"/>
    </row>
    <row r="55" spans="1:15" ht="28.5" customHeight="1">
      <c r="A55" s="1934"/>
      <c r="B55" s="1935"/>
      <c r="C55" s="1935"/>
      <c r="D55" s="1935"/>
      <c r="E55" s="1936"/>
      <c r="F55" s="1792"/>
      <c r="G55" s="1941"/>
      <c r="O55" s="1793"/>
    </row>
    <row r="56" spans="1:15" ht="28.5" customHeight="1">
      <c r="A56" s="1934"/>
      <c r="B56" s="1935"/>
      <c r="C56" s="1935"/>
      <c r="D56" s="1935"/>
      <c r="E56" s="1936"/>
      <c r="F56" s="1792"/>
      <c r="G56" s="1941"/>
      <c r="O56" s="1793"/>
    </row>
    <row r="57" spans="1:15" ht="28.5" customHeight="1" thickBot="1">
      <c r="A57" s="1942"/>
      <c r="B57" s="1943"/>
      <c r="C57" s="1943"/>
      <c r="D57" s="1943"/>
      <c r="E57" s="1944"/>
      <c r="F57" s="1792"/>
      <c r="G57" s="1941"/>
      <c r="O57" s="1793"/>
    </row>
    <row r="58" spans="1:15" ht="28.5" customHeight="1" thickBot="1">
      <c r="A58" s="1945" t="s">
        <v>1782</v>
      </c>
      <c r="B58" s="1946"/>
      <c r="C58" s="1946"/>
      <c r="D58" s="1946"/>
      <c r="E58" s="1947"/>
      <c r="F58" s="1792"/>
      <c r="G58" s="1941"/>
      <c r="O58" s="1793"/>
    </row>
    <row r="59" spans="1:15">
      <c r="A59" s="1948" t="s">
        <v>1783</v>
      </c>
      <c r="B59" s="1948"/>
      <c r="C59" s="1948"/>
      <c r="D59" s="1948"/>
      <c r="E59" s="1948"/>
      <c r="F59" s="1792"/>
      <c r="G59" s="1941"/>
      <c r="O59" s="1793"/>
    </row>
    <row r="60" spans="1:15">
      <c r="A60" s="1949" t="s">
        <v>1726</v>
      </c>
      <c r="B60" s="1950" t="s">
        <v>1721</v>
      </c>
      <c r="C60" s="1951" t="s">
        <v>1727</v>
      </c>
      <c r="D60" s="1952" t="s">
        <v>1728</v>
      </c>
      <c r="E60" s="1792"/>
      <c r="F60" s="1792"/>
      <c r="G60" s="1941"/>
      <c r="O60" s="1793"/>
    </row>
    <row r="61" spans="1:15">
      <c r="A61" s="1953" t="s">
        <v>219</v>
      </c>
      <c r="B61" s="1953" t="s">
        <v>1784</v>
      </c>
      <c r="C61" s="1953" t="s">
        <v>219</v>
      </c>
      <c r="D61" s="1954" t="s">
        <v>1785</v>
      </c>
      <c r="E61" s="1792"/>
      <c r="F61" s="1792"/>
      <c r="G61" s="1941"/>
      <c r="O61" s="1793"/>
    </row>
    <row r="62" spans="1:15" ht="29.25" customHeight="1">
      <c r="A62" s="1953" t="s">
        <v>218</v>
      </c>
      <c r="B62" s="1955" t="s">
        <v>1786</v>
      </c>
      <c r="C62" s="1953" t="s">
        <v>218</v>
      </c>
      <c r="D62" s="1954" t="s">
        <v>1787</v>
      </c>
      <c r="E62" s="1792"/>
      <c r="F62" s="1956"/>
      <c r="G62" s="1957"/>
      <c r="H62" s="1958"/>
      <c r="O62" s="1793"/>
    </row>
    <row r="63" spans="1:15">
      <c r="A63" s="1953" t="s">
        <v>1784</v>
      </c>
      <c r="B63" s="1955" t="s">
        <v>1788</v>
      </c>
      <c r="C63" s="1953" t="s">
        <v>1784</v>
      </c>
      <c r="D63" s="1954" t="s">
        <v>1789</v>
      </c>
      <c r="E63" s="1792"/>
      <c r="F63" s="1959" t="s">
        <v>1790</v>
      </c>
      <c r="G63" s="1960" t="s">
        <v>1791</v>
      </c>
      <c r="H63" s="1961" t="s">
        <v>1792</v>
      </c>
      <c r="I63" s="1962" t="s">
        <v>1793</v>
      </c>
      <c r="J63" s="1963"/>
      <c r="O63" s="1793"/>
    </row>
    <row r="64" spans="1:15">
      <c r="A64" s="1964"/>
      <c r="B64" s="1965" t="s">
        <v>1794</v>
      </c>
      <c r="C64" s="1964"/>
      <c r="D64" s="1954" t="s">
        <v>1795</v>
      </c>
      <c r="E64" s="1792"/>
      <c r="F64" s="1953" t="s">
        <v>1796</v>
      </c>
      <c r="G64" s="1953" t="s">
        <v>1797</v>
      </c>
      <c r="H64" s="1966">
        <v>1</v>
      </c>
      <c r="I64" s="1967">
        <v>1</v>
      </c>
      <c r="J64" s="1963"/>
      <c r="O64" s="1793"/>
    </row>
    <row r="65" spans="1:15">
      <c r="A65" s="1964"/>
      <c r="B65" s="1965" t="s">
        <v>1798</v>
      </c>
      <c r="C65" s="1964"/>
      <c r="D65" s="1954" t="s">
        <v>1799</v>
      </c>
      <c r="E65" s="1792"/>
      <c r="F65" s="1953" t="s">
        <v>1800</v>
      </c>
      <c r="G65" s="1953" t="s">
        <v>1801</v>
      </c>
      <c r="H65" s="1966">
        <v>1</v>
      </c>
      <c r="I65" s="1967">
        <v>1</v>
      </c>
      <c r="J65" s="1968"/>
      <c r="O65" s="1793"/>
    </row>
    <row r="66" spans="1:15">
      <c r="A66" s="1964"/>
      <c r="B66" s="1965" t="s">
        <v>1802</v>
      </c>
      <c r="C66" s="1969"/>
      <c r="D66" s="1954" t="s">
        <v>1729</v>
      </c>
      <c r="E66" s="1792"/>
      <c r="F66" s="1953" t="s">
        <v>1803</v>
      </c>
      <c r="G66" s="1953" t="s">
        <v>1804</v>
      </c>
      <c r="H66" s="1966">
        <v>1</v>
      </c>
      <c r="I66" s="1967">
        <v>1</v>
      </c>
      <c r="J66" s="1963" t="s">
        <v>1805</v>
      </c>
      <c r="O66" s="1793"/>
    </row>
    <row r="67" spans="1:15">
      <c r="A67" s="1964"/>
      <c r="B67" s="1965" t="s">
        <v>1806</v>
      </c>
      <c r="C67" s="1969"/>
      <c r="D67" s="1954" t="s">
        <v>1807</v>
      </c>
      <c r="E67" s="1792"/>
      <c r="F67" s="1953" t="s">
        <v>1808</v>
      </c>
      <c r="G67" s="1953" t="s">
        <v>1809</v>
      </c>
      <c r="H67" s="1966">
        <v>1</v>
      </c>
      <c r="I67" s="1962">
        <v>0</v>
      </c>
      <c r="J67" s="1963" t="s">
        <v>1810</v>
      </c>
      <c r="O67" s="1793"/>
    </row>
    <row r="68" spans="1:15">
      <c r="A68" s="1953"/>
      <c r="B68" s="1965" t="s">
        <v>1722</v>
      </c>
      <c r="C68" s="1953"/>
      <c r="D68" s="1953" t="s">
        <v>1784</v>
      </c>
      <c r="E68" s="1956"/>
      <c r="F68" s="1953" t="s">
        <v>1811</v>
      </c>
      <c r="G68" s="1953" t="s">
        <v>1812</v>
      </c>
      <c r="H68" s="1966">
        <v>1</v>
      </c>
      <c r="I68" s="1962">
        <v>0</v>
      </c>
      <c r="J68" s="1963"/>
      <c r="O68" s="1793"/>
    </row>
    <row r="69" spans="1:15">
      <c r="A69" s="1956"/>
      <c r="B69" s="1956"/>
      <c r="C69" s="1941"/>
      <c r="D69" s="1956"/>
      <c r="E69" s="1956"/>
      <c r="F69" s="1953" t="s">
        <v>1813</v>
      </c>
      <c r="G69" s="1953" t="s">
        <v>1814</v>
      </c>
      <c r="H69" s="1966">
        <v>0.8</v>
      </c>
      <c r="I69" s="1962">
        <v>0</v>
      </c>
      <c r="J69" s="1963"/>
      <c r="O69" s="1793"/>
    </row>
    <row r="70" spans="1:15">
      <c r="A70" s="1970" t="s">
        <v>1725</v>
      </c>
      <c r="B70" s="1971" t="s">
        <v>1723</v>
      </c>
      <c r="C70" s="1972" t="s">
        <v>1737</v>
      </c>
      <c r="D70" s="1973"/>
      <c r="E70" s="1974"/>
      <c r="F70" s="1953" t="s">
        <v>1746</v>
      </c>
      <c r="G70" s="1953" t="s">
        <v>1815</v>
      </c>
      <c r="H70" s="1966">
        <v>0.8</v>
      </c>
      <c r="I70" s="1967">
        <v>1</v>
      </c>
      <c r="J70" s="1963"/>
      <c r="O70" s="1793"/>
    </row>
    <row r="71" spans="1:15">
      <c r="A71" s="1970"/>
      <c r="B71" s="1975" t="s">
        <v>1724</v>
      </c>
      <c r="C71" s="1976" t="s">
        <v>219</v>
      </c>
      <c r="D71" s="1977"/>
      <c r="E71" s="1978"/>
      <c r="F71" s="1953" t="s">
        <v>1816</v>
      </c>
      <c r="G71" s="1953" t="s">
        <v>1817</v>
      </c>
      <c r="H71" s="1966">
        <v>0.5</v>
      </c>
      <c r="I71" s="1962">
        <v>0</v>
      </c>
      <c r="J71" s="1963" t="s">
        <v>1818</v>
      </c>
      <c r="O71" s="1793"/>
    </row>
    <row r="72" spans="1:15">
      <c r="A72" s="1970"/>
      <c r="B72" s="1975" t="s">
        <v>1819</v>
      </c>
      <c r="C72" s="1976" t="s">
        <v>218</v>
      </c>
      <c r="D72" s="1977"/>
      <c r="E72" s="1978"/>
      <c r="F72" s="1953" t="s">
        <v>1745</v>
      </c>
      <c r="G72" s="1953" t="s">
        <v>1820</v>
      </c>
      <c r="H72" s="1979">
        <v>0.5</v>
      </c>
      <c r="I72" s="1962">
        <v>0</v>
      </c>
      <c r="J72" s="1963" t="s">
        <v>1821</v>
      </c>
      <c r="O72" s="1793"/>
    </row>
    <row r="73" spans="1:15">
      <c r="A73" s="1956" t="s">
        <v>1822</v>
      </c>
      <c r="B73" s="1975" t="s">
        <v>499</v>
      </c>
      <c r="C73" s="1976" t="s">
        <v>1784</v>
      </c>
      <c r="D73" s="1977"/>
      <c r="E73" s="1978"/>
      <c r="F73" s="1953" t="s">
        <v>1823</v>
      </c>
      <c r="G73" s="1953" t="s">
        <v>1824</v>
      </c>
      <c r="H73" s="1979" t="s">
        <v>1825</v>
      </c>
      <c r="I73" s="1962">
        <v>0</v>
      </c>
      <c r="J73" s="1963"/>
      <c r="O73" s="1980"/>
    </row>
    <row r="74" spans="1:15">
      <c r="A74" s="1956" t="s">
        <v>1826</v>
      </c>
      <c r="B74" s="1975" t="s">
        <v>1827</v>
      </c>
      <c r="C74" s="1981" t="s">
        <v>1730</v>
      </c>
      <c r="D74" s="1982"/>
      <c r="E74" s="1983"/>
      <c r="F74" s="1953" t="s">
        <v>1744</v>
      </c>
      <c r="G74" s="1953" t="s">
        <v>1828</v>
      </c>
      <c r="H74" s="1979">
        <v>0.7</v>
      </c>
      <c r="I74" s="1962">
        <v>0</v>
      </c>
      <c r="J74" s="1963" t="s">
        <v>1829</v>
      </c>
    </row>
    <row r="75" spans="1:15">
      <c r="A75" s="1956" t="s">
        <v>1784</v>
      </c>
      <c r="B75" s="1975" t="s">
        <v>498</v>
      </c>
      <c r="C75" s="1984" t="s">
        <v>219</v>
      </c>
      <c r="D75" s="1985"/>
      <c r="E75" s="1986"/>
      <c r="F75" s="1953" t="s">
        <v>1830</v>
      </c>
      <c r="G75" s="1953" t="s">
        <v>1831</v>
      </c>
      <c r="H75" s="1979">
        <v>0.4</v>
      </c>
      <c r="I75" s="1962">
        <v>0</v>
      </c>
      <c r="J75" s="1963" t="s">
        <v>1832</v>
      </c>
    </row>
    <row r="76" spans="1:15">
      <c r="A76" s="1956"/>
      <c r="B76" s="1975" t="s">
        <v>488</v>
      </c>
      <c r="C76" s="1984" t="s">
        <v>218</v>
      </c>
      <c r="D76" s="1985"/>
      <c r="E76" s="1986"/>
      <c r="F76" s="1953" t="s">
        <v>1833</v>
      </c>
      <c r="G76" s="1953" t="s">
        <v>1834</v>
      </c>
      <c r="H76" s="1979">
        <v>0.3</v>
      </c>
      <c r="I76" s="1962">
        <v>0</v>
      </c>
      <c r="J76" s="1963" t="s">
        <v>1829</v>
      </c>
    </row>
    <row r="77" spans="1:15">
      <c r="A77" s="1956"/>
      <c r="B77" s="1975" t="s">
        <v>1835</v>
      </c>
      <c r="C77" s="1984" t="s">
        <v>1784</v>
      </c>
      <c r="D77" s="1985"/>
      <c r="E77" s="1986"/>
      <c r="F77" s="1956"/>
      <c r="G77" s="1987"/>
      <c r="H77" s="1988"/>
    </row>
    <row r="78" spans="1:15">
      <c r="A78" s="1956"/>
      <c r="B78" s="1975" t="s">
        <v>1836</v>
      </c>
      <c r="C78" s="1956"/>
      <c r="D78" s="1989"/>
      <c r="E78" s="1990"/>
      <c r="F78" s="1990"/>
      <c r="G78" s="1990"/>
      <c r="H78" s="1988"/>
    </row>
    <row r="79" spans="1:15">
      <c r="A79" s="1956"/>
      <c r="B79" s="1975" t="s">
        <v>1784</v>
      </c>
      <c r="C79" s="1956"/>
      <c r="D79" s="1991"/>
      <c r="E79" s="1956"/>
      <c r="F79" s="1956"/>
      <c r="G79" s="1956"/>
      <c r="H79" s="1988"/>
    </row>
    <row r="80" spans="1:15">
      <c r="A80" s="1992" t="s">
        <v>1837</v>
      </c>
      <c r="B80" s="1993" t="s">
        <v>1732</v>
      </c>
      <c r="C80" s="1994" t="str">
        <f>B11</f>
        <v>scheduling the previous debt</v>
      </c>
      <c r="D80" s="1995"/>
      <c r="E80" s="1996" t="s">
        <v>1838</v>
      </c>
      <c r="F80" s="1997"/>
      <c r="G80" s="1941"/>
    </row>
    <row r="81" spans="1:8">
      <c r="A81" s="1953" t="s">
        <v>1839</v>
      </c>
      <c r="B81" s="1953" t="s">
        <v>219</v>
      </c>
      <c r="C81" s="1953" t="s">
        <v>219</v>
      </c>
      <c r="D81" s="1998"/>
      <c r="E81" s="1999" t="s">
        <v>1840</v>
      </c>
      <c r="F81" s="1997"/>
      <c r="G81" s="1941"/>
    </row>
    <row r="82" spans="1:8">
      <c r="A82" s="1953" t="s">
        <v>1841</v>
      </c>
      <c r="B82" s="1953" t="s">
        <v>218</v>
      </c>
      <c r="C82" s="1953" t="s">
        <v>1772</v>
      </c>
      <c r="D82" s="2000"/>
      <c r="E82" s="2001"/>
      <c r="F82" s="2002"/>
      <c r="G82" s="1941"/>
    </row>
    <row r="83" spans="1:8">
      <c r="A83" s="1954" t="s">
        <v>1762</v>
      </c>
      <c r="B83" s="1953" t="s">
        <v>1784</v>
      </c>
      <c r="C83" s="1953" t="s">
        <v>1784</v>
      </c>
      <c r="D83" s="2000"/>
      <c r="E83" s="1999" t="s">
        <v>1842</v>
      </c>
      <c r="F83" s="1997"/>
      <c r="G83" s="1941"/>
    </row>
    <row r="84" spans="1:8">
      <c r="A84" s="1953" t="s">
        <v>1843</v>
      </c>
      <c r="B84" s="2003"/>
      <c r="C84" s="2003"/>
      <c r="D84" s="2000"/>
      <c r="E84" s="1999" t="s">
        <v>1736</v>
      </c>
      <c r="F84" s="1997"/>
      <c r="G84" s="1957"/>
      <c r="H84" s="1958"/>
    </row>
    <row r="85" spans="1:8">
      <c r="A85" s="1953" t="s">
        <v>1764</v>
      </c>
      <c r="B85" s="1959" t="s">
        <v>1747</v>
      </c>
      <c r="C85" s="2003"/>
      <c r="D85" s="2000"/>
      <c r="E85" s="1999" t="s">
        <v>1844</v>
      </c>
      <c r="F85" s="1997"/>
      <c r="G85" s="1941"/>
    </row>
    <row r="86" spans="1:8">
      <c r="A86" s="1953" t="s">
        <v>1845</v>
      </c>
      <c r="B86" s="1960" t="s">
        <v>1846</v>
      </c>
      <c r="C86" s="1997"/>
      <c r="D86" s="1997"/>
      <c r="E86" s="1941"/>
      <c r="F86" s="1941"/>
      <c r="G86" s="1941"/>
    </row>
    <row r="87" spans="1:8">
      <c r="A87" s="1953" t="s">
        <v>1847</v>
      </c>
      <c r="B87" s="1960" t="s">
        <v>1738</v>
      </c>
      <c r="C87" s="1997"/>
      <c r="D87" s="1997"/>
      <c r="E87" s="1941"/>
      <c r="F87" s="1941"/>
      <c r="G87" s="1941"/>
    </row>
    <row r="88" spans="1:8">
      <c r="A88" s="1953" t="s">
        <v>1848</v>
      </c>
      <c r="B88" s="1960" t="s">
        <v>1849</v>
      </c>
      <c r="C88" s="1997"/>
      <c r="D88" s="1997"/>
      <c r="E88" s="1956" t="s">
        <v>219</v>
      </c>
      <c r="F88" s="1941"/>
      <c r="G88" s="1941"/>
    </row>
    <row r="89" spans="1:8">
      <c r="A89" s="1964" t="s">
        <v>1850</v>
      </c>
      <c r="B89" s="1960" t="s">
        <v>1851</v>
      </c>
      <c r="C89" s="1997"/>
      <c r="D89" s="1997"/>
      <c r="E89" s="1956" t="s">
        <v>1772</v>
      </c>
      <c r="F89" s="1941"/>
      <c r="G89" s="1941"/>
    </row>
    <row r="90" spans="1:8">
      <c r="A90" s="1941"/>
      <c r="B90" s="1941"/>
      <c r="C90" s="1941"/>
      <c r="D90" s="1941"/>
      <c r="E90" s="1941"/>
      <c r="F90" s="1792"/>
      <c r="G90" s="1941"/>
    </row>
    <row r="91" spans="1:8">
      <c r="A91" s="2004" t="s">
        <v>1765</v>
      </c>
      <c r="B91" s="2005" t="s">
        <v>1852</v>
      </c>
      <c r="C91" s="2006" t="s">
        <v>1769</v>
      </c>
      <c r="D91" s="2006"/>
      <c r="E91" s="1941"/>
      <c r="F91" s="1792"/>
      <c r="G91" s="1941"/>
    </row>
    <row r="92" spans="1:8">
      <c r="A92" s="1997" t="s">
        <v>1766</v>
      </c>
      <c r="B92" s="1964" t="str">
        <f>A83</f>
        <v>Real estate and construction</v>
      </c>
      <c r="C92" s="2007" t="s">
        <v>1770</v>
      </c>
      <c r="D92" s="2007"/>
      <c r="E92" s="1941"/>
      <c r="F92" s="1792"/>
      <c r="G92" s="1941"/>
    </row>
    <row r="93" spans="1:8" ht="58.5">
      <c r="A93" s="2008" t="s">
        <v>1853</v>
      </c>
      <c r="B93" s="1964" t="s">
        <v>1745</v>
      </c>
      <c r="C93" s="2007" t="s">
        <v>1854</v>
      </c>
      <c r="D93" s="2007"/>
      <c r="E93" s="1941"/>
      <c r="F93" s="1792"/>
      <c r="G93" s="1941"/>
    </row>
    <row r="94" spans="1:8">
      <c r="A94" s="1997" t="s">
        <v>1855</v>
      </c>
      <c r="B94" s="1964" t="str">
        <f>A85</f>
        <v>Commercial</v>
      </c>
      <c r="C94" s="2007" t="s">
        <v>1856</v>
      </c>
      <c r="D94" s="2007"/>
      <c r="E94" s="1941"/>
      <c r="F94" s="1941"/>
      <c r="G94" s="1941"/>
    </row>
    <row r="95" spans="1:8">
      <c r="A95" s="1997"/>
      <c r="B95" s="1964" t="str">
        <f>A87</f>
        <v>Governmental</v>
      </c>
      <c r="C95" s="1997"/>
      <c r="D95" s="1997"/>
      <c r="E95" s="1941"/>
      <c r="F95" s="1941"/>
      <c r="G95" s="1941"/>
    </row>
    <row r="96" spans="1:8" ht="29.25" customHeight="1">
      <c r="A96" s="1997"/>
      <c r="B96" s="1964" t="str">
        <f>A84</f>
        <v>Industries</v>
      </c>
      <c r="C96" s="2009" t="s">
        <v>1857</v>
      </c>
      <c r="D96" s="2009"/>
      <c r="E96" s="1941"/>
      <c r="F96" s="1941"/>
      <c r="G96" s="1941"/>
    </row>
    <row r="97" spans="1:9">
      <c r="A97" s="1997"/>
      <c r="B97" s="1964" t="str">
        <f>A81</f>
        <v>Agriculture</v>
      </c>
      <c r="C97" s="2010" t="s">
        <v>1858</v>
      </c>
      <c r="D97" s="2011"/>
      <c r="E97" s="1792"/>
      <c r="F97" s="1941"/>
      <c r="G97" s="1941"/>
    </row>
    <row r="98" spans="1:9">
      <c r="A98" s="1997"/>
      <c r="B98" s="1964" t="str">
        <f>A86</f>
        <v>Services</v>
      </c>
      <c r="C98" s="2011" t="s">
        <v>1859</v>
      </c>
      <c r="D98" s="2011"/>
      <c r="E98" s="1792"/>
      <c r="F98" s="1941"/>
      <c r="G98" s="1941"/>
    </row>
    <row r="99" spans="1:9">
      <c r="A99" s="1997"/>
      <c r="B99" s="1964" t="str">
        <f>A82</f>
        <v>Tourism</v>
      </c>
      <c r="C99" s="2011" t="s">
        <v>1734</v>
      </c>
      <c r="D99" s="2011"/>
      <c r="E99" s="1792"/>
      <c r="F99" s="1941"/>
      <c r="G99" s="1941"/>
    </row>
    <row r="100" spans="1:9">
      <c r="A100" s="1964"/>
      <c r="B100" s="1964" t="s">
        <v>1860</v>
      </c>
      <c r="C100" s="2012" t="s">
        <v>1861</v>
      </c>
      <c r="D100" s="2011"/>
      <c r="E100" s="1792"/>
      <c r="F100" s="1941"/>
      <c r="G100" s="1941"/>
    </row>
    <row r="101" spans="1:9" s="1805" customFormat="1">
      <c r="A101" s="2013" t="s">
        <v>1862</v>
      </c>
      <c r="B101" s="2014" t="s">
        <v>1848</v>
      </c>
      <c r="C101" s="2015"/>
      <c r="D101" s="2015"/>
      <c r="E101" s="1792"/>
      <c r="F101" s="1941"/>
      <c r="G101" s="1941"/>
      <c r="H101" s="1794"/>
      <c r="I101" s="1793"/>
    </row>
    <row r="102" spans="1:9" s="1805" customFormat="1">
      <c r="A102" s="2004" t="s">
        <v>1767</v>
      </c>
      <c r="B102" s="2016"/>
      <c r="C102" s="1941"/>
      <c r="D102" s="1941"/>
      <c r="E102" s="1941"/>
      <c r="F102" s="1941"/>
      <c r="G102" s="1941"/>
      <c r="H102" s="1794"/>
      <c r="I102" s="1793"/>
    </row>
    <row r="103" spans="1:9" s="1805" customFormat="1">
      <c r="A103" s="2017" t="s">
        <v>1768</v>
      </c>
      <c r="B103" s="2016"/>
      <c r="C103" s="1941"/>
      <c r="D103" s="1941"/>
      <c r="E103" s="1941"/>
      <c r="F103" s="1941"/>
      <c r="G103" s="1941"/>
      <c r="H103" s="1794"/>
      <c r="I103" s="1793"/>
    </row>
    <row r="104" spans="1:9" s="1805" customFormat="1">
      <c r="A104" s="2013" t="s">
        <v>1863</v>
      </c>
      <c r="B104" s="1941"/>
      <c r="C104" s="1941"/>
      <c r="D104" s="1941"/>
      <c r="E104" s="1941"/>
      <c r="F104" s="1941"/>
      <c r="G104" s="1941"/>
      <c r="H104" s="1794"/>
      <c r="I104" s="1793"/>
    </row>
    <row r="105" spans="1:9" s="1805" customFormat="1">
      <c r="A105" s="2017" t="s">
        <v>1864</v>
      </c>
      <c r="B105" s="1941"/>
      <c r="C105" s="1941"/>
      <c r="D105" s="1941"/>
      <c r="E105" s="1941"/>
      <c r="F105" s="1941"/>
      <c r="G105" s="1941"/>
      <c r="H105" s="1794"/>
      <c r="I105" s="1793"/>
    </row>
    <row r="106" spans="1:9" s="1805" customFormat="1">
      <c r="A106" s="2016"/>
      <c r="B106" s="1957"/>
      <c r="C106" s="1941"/>
      <c r="D106" s="1941"/>
      <c r="E106" s="1941"/>
      <c r="F106" s="1941"/>
      <c r="G106" s="1941"/>
      <c r="H106" s="1794"/>
      <c r="I106" s="1793"/>
    </row>
    <row r="107" spans="1:9" s="1805" customFormat="1">
      <c r="A107" s="1941"/>
      <c r="B107" s="1941"/>
      <c r="C107" s="1941"/>
      <c r="D107" s="1941"/>
      <c r="E107" s="1941"/>
      <c r="F107" s="1941"/>
      <c r="G107" s="1941"/>
      <c r="I107" s="1817"/>
    </row>
    <row r="108" spans="1:9" s="1805" customFormat="1">
      <c r="A108" s="1941"/>
      <c r="B108" s="1941"/>
      <c r="C108" s="1941"/>
      <c r="D108" s="1941"/>
      <c r="E108" s="1941"/>
      <c r="F108" s="1941"/>
      <c r="G108" s="1941"/>
      <c r="I108" s="1817"/>
    </row>
    <row r="109" spans="1:9" s="1805" customFormat="1">
      <c r="A109" s="1941"/>
      <c r="B109" s="1941"/>
      <c r="C109" s="1941"/>
      <c r="D109" s="1941"/>
      <c r="E109" s="1941"/>
      <c r="F109" s="1941"/>
      <c r="G109" s="1941"/>
      <c r="I109" s="1817"/>
    </row>
    <row r="110" spans="1:9" s="1805" customFormat="1">
      <c r="A110" s="1941"/>
      <c r="B110" s="1941"/>
      <c r="C110" s="1941"/>
      <c r="D110" s="1941"/>
      <c r="E110" s="1941"/>
      <c r="F110" s="1941"/>
      <c r="G110" s="1941"/>
      <c r="I110" s="1817"/>
    </row>
    <row r="111" spans="1:9" s="1805" customFormat="1">
      <c r="A111" s="1941"/>
      <c r="B111" s="1941"/>
      <c r="C111" s="1941"/>
      <c r="D111" s="1941"/>
      <c r="E111" s="1941"/>
      <c r="F111" s="2018"/>
      <c r="G111" s="2016"/>
      <c r="I111" s="1817"/>
    </row>
    <row r="112" spans="1:9" s="1805" customFormat="1">
      <c r="A112" s="1941"/>
      <c r="B112" s="1941"/>
      <c r="C112" s="1941"/>
      <c r="D112" s="1941"/>
      <c r="E112" s="1941"/>
      <c r="F112" s="2018"/>
      <c r="G112" s="2016"/>
      <c r="I112" s="1817"/>
    </row>
    <row r="113" spans="1:9" s="1805" customFormat="1">
      <c r="A113" s="1941"/>
      <c r="B113" s="1941"/>
      <c r="C113" s="1941"/>
      <c r="D113" s="1941"/>
      <c r="E113" s="1941"/>
      <c r="F113" s="2018"/>
      <c r="G113" s="2016"/>
      <c r="I113" s="1817"/>
    </row>
    <row r="114" spans="1:9" s="1805" customFormat="1">
      <c r="A114" s="1941"/>
      <c r="B114" s="1941"/>
      <c r="C114" s="1941"/>
      <c r="D114" s="1941"/>
      <c r="E114" s="1941"/>
      <c r="F114" s="2018"/>
      <c r="G114" s="2016"/>
      <c r="I114" s="1817"/>
    </row>
    <row r="115" spans="1:9" s="1805" customFormat="1">
      <c r="A115" s="1941"/>
      <c r="B115" s="1941"/>
      <c r="C115" s="1941"/>
      <c r="D115" s="1941"/>
      <c r="E115" s="1941"/>
      <c r="F115" s="1941"/>
      <c r="G115" s="2016"/>
      <c r="I115" s="1817"/>
    </row>
    <row r="116" spans="1:9" s="1805" customFormat="1">
      <c r="A116" s="1941"/>
      <c r="B116" s="1941"/>
      <c r="C116" s="1941"/>
      <c r="D116" s="1941"/>
      <c r="E116" s="1941"/>
      <c r="F116" s="1941"/>
      <c r="G116" s="2016"/>
      <c r="I116" s="1817"/>
    </row>
    <row r="117" spans="1:9" s="1805" customFormat="1">
      <c r="A117" s="1941"/>
      <c r="B117" s="1941"/>
      <c r="C117" s="2019"/>
      <c r="D117" s="2019"/>
      <c r="E117" s="2018"/>
      <c r="F117" s="1941"/>
      <c r="G117" s="2016"/>
      <c r="I117" s="1817"/>
    </row>
    <row r="118" spans="1:9" s="1805" customFormat="1">
      <c r="A118" s="1941"/>
      <c r="B118" s="1941"/>
      <c r="C118" s="2019"/>
      <c r="D118" s="2019"/>
      <c r="E118" s="2018"/>
      <c r="F118" s="1941"/>
      <c r="G118" s="2016"/>
      <c r="I118" s="1817"/>
    </row>
    <row r="119" spans="1:9" s="1805" customFormat="1">
      <c r="A119" s="1941"/>
      <c r="B119" s="1941"/>
      <c r="C119" s="2019"/>
      <c r="D119" s="2019"/>
      <c r="E119" s="2018"/>
      <c r="F119" s="1941"/>
      <c r="G119" s="2016"/>
      <c r="I119" s="1817"/>
    </row>
    <row r="120" spans="1:9" s="1805" customFormat="1">
      <c r="A120" s="1941"/>
      <c r="B120" s="1941"/>
      <c r="C120" s="2019"/>
      <c r="D120" s="2019"/>
      <c r="E120" s="2018"/>
      <c r="F120" s="1941"/>
      <c r="G120" s="2016"/>
      <c r="I120" s="1817"/>
    </row>
    <row r="121" spans="1:9" s="1805" customFormat="1">
      <c r="A121" s="1941"/>
      <c r="B121" s="1941"/>
      <c r="C121" s="1941"/>
      <c r="D121" s="1941"/>
      <c r="E121" s="1941"/>
      <c r="F121" s="1941"/>
      <c r="G121" s="2016"/>
      <c r="I121" s="1817"/>
    </row>
    <row r="122" spans="1:9" s="1805" customFormat="1">
      <c r="A122" s="1941"/>
      <c r="B122" s="1941"/>
      <c r="C122" s="1941"/>
      <c r="D122" s="1941"/>
      <c r="E122" s="1941"/>
      <c r="F122" s="1941"/>
      <c r="G122" s="2016"/>
      <c r="I122" s="1817"/>
    </row>
    <row r="123" spans="1:9" s="1805" customFormat="1">
      <c r="A123" s="1941"/>
      <c r="B123" s="1941"/>
      <c r="C123" s="1941"/>
      <c r="D123" s="1941"/>
      <c r="E123" s="1941"/>
      <c r="F123" s="1941"/>
      <c r="G123" s="2016"/>
      <c r="I123" s="1817"/>
    </row>
    <row r="124" spans="1:9" s="1805" customFormat="1">
      <c r="A124" s="1941"/>
      <c r="B124" s="1941"/>
      <c r="C124" s="1941"/>
      <c r="D124" s="1941"/>
      <c r="E124" s="1941"/>
      <c r="F124" s="1941"/>
      <c r="G124" s="2016"/>
      <c r="I124" s="1817"/>
    </row>
    <row r="125" spans="1:9" s="1805" customFormat="1">
      <c r="A125" s="1941"/>
      <c r="B125" s="1941"/>
      <c r="C125" s="1941"/>
      <c r="D125" s="1941"/>
      <c r="E125" s="1941"/>
      <c r="F125" s="1941"/>
      <c r="G125" s="2016"/>
      <c r="I125" s="1817"/>
    </row>
    <row r="126" spans="1:9" s="1805" customFormat="1">
      <c r="A126" s="1941"/>
      <c r="B126" s="1941"/>
      <c r="C126" s="1941"/>
      <c r="D126" s="1941"/>
      <c r="E126" s="1941"/>
      <c r="F126" s="1941"/>
      <c r="G126" s="2016"/>
      <c r="I126" s="1817"/>
    </row>
    <row r="127" spans="1:9" s="1805" customFormat="1">
      <c r="A127" s="1941"/>
      <c r="B127" s="1941"/>
      <c r="C127" s="1941"/>
      <c r="D127" s="1941"/>
      <c r="E127" s="1941"/>
      <c r="F127" s="1941"/>
      <c r="G127" s="2016"/>
      <c r="I127" s="1817"/>
    </row>
    <row r="128" spans="1:9" s="1805" customFormat="1">
      <c r="A128" s="1941"/>
      <c r="B128" s="1941"/>
      <c r="C128" s="1941"/>
      <c r="D128" s="1941"/>
      <c r="E128" s="1941"/>
      <c r="F128" s="1941"/>
      <c r="G128" s="2016"/>
      <c r="I128" s="1817"/>
    </row>
    <row r="129" spans="1:9" s="1805" customFormat="1">
      <c r="A129" s="1941"/>
      <c r="B129" s="1941"/>
      <c r="C129" s="1941"/>
      <c r="D129" s="1941"/>
      <c r="E129" s="1941"/>
      <c r="F129" s="1941"/>
      <c r="G129" s="2016"/>
      <c r="I129" s="1817"/>
    </row>
    <row r="130" spans="1:9" s="1805" customFormat="1">
      <c r="A130" s="1941"/>
      <c r="B130" s="1941"/>
      <c r="C130" s="1941"/>
      <c r="D130" s="1941"/>
      <c r="E130" s="1941"/>
      <c r="F130" s="1941"/>
      <c r="G130" s="2016"/>
      <c r="I130" s="1817"/>
    </row>
    <row r="131" spans="1:9" s="1805" customFormat="1">
      <c r="A131" s="1941"/>
      <c r="B131" s="1941"/>
      <c r="C131" s="1941"/>
      <c r="D131" s="1941"/>
      <c r="E131" s="1941"/>
      <c r="F131" s="2016"/>
      <c r="G131" s="2016"/>
      <c r="I131" s="1817"/>
    </row>
    <row r="132" spans="1:9" s="1805" customFormat="1">
      <c r="A132" s="1941"/>
      <c r="B132" s="1941"/>
      <c r="C132" s="1941"/>
      <c r="D132" s="1941"/>
      <c r="E132" s="1941"/>
      <c r="F132" s="2016"/>
      <c r="G132" s="2016"/>
      <c r="I132" s="1817"/>
    </row>
    <row r="133" spans="1:9" s="1805" customFormat="1">
      <c r="A133" s="1941"/>
      <c r="B133" s="1941"/>
      <c r="C133" s="1941"/>
      <c r="D133" s="1941"/>
      <c r="E133" s="1941"/>
      <c r="F133" s="2016"/>
      <c r="G133" s="2016"/>
      <c r="I133" s="1817"/>
    </row>
    <row r="134" spans="1:9" s="1805" customFormat="1">
      <c r="A134" s="1941"/>
      <c r="B134" s="1941"/>
      <c r="C134" s="1941"/>
      <c r="D134" s="1941"/>
      <c r="E134" s="1941"/>
      <c r="F134" s="2016"/>
      <c r="G134" s="2016"/>
      <c r="I134" s="1817"/>
    </row>
    <row r="135" spans="1:9" s="1805" customFormat="1">
      <c r="A135" s="1941"/>
      <c r="B135" s="1941"/>
      <c r="C135" s="1941"/>
      <c r="D135" s="1941"/>
      <c r="E135" s="1941"/>
      <c r="F135" s="2016"/>
      <c r="G135" s="2016"/>
      <c r="I135" s="1817"/>
    </row>
    <row r="136" spans="1:9" s="1805" customFormat="1">
      <c r="A136" s="1941"/>
      <c r="B136" s="1941"/>
      <c r="C136" s="1941"/>
      <c r="D136" s="1941"/>
      <c r="E136" s="1941"/>
      <c r="F136" s="2016"/>
      <c r="G136" s="2016"/>
      <c r="I136" s="1817"/>
    </row>
    <row r="137" spans="1:9" s="1805" customFormat="1">
      <c r="A137" s="2016"/>
      <c r="B137" s="1941"/>
      <c r="C137" s="1941"/>
      <c r="D137" s="1941"/>
      <c r="E137" s="2016"/>
      <c r="F137" s="2016"/>
      <c r="G137" s="2016"/>
      <c r="I137" s="1817"/>
    </row>
    <row r="138" spans="1:9" s="1805" customFormat="1">
      <c r="A138" s="2016"/>
      <c r="B138" s="1941"/>
      <c r="C138" s="1941"/>
      <c r="D138" s="1941"/>
      <c r="E138" s="2016"/>
      <c r="F138" s="2016"/>
      <c r="G138" s="1941"/>
      <c r="I138" s="1817"/>
    </row>
    <row r="139" spans="1:9" s="1805" customFormat="1">
      <c r="A139" s="2016"/>
      <c r="B139" s="1941"/>
      <c r="C139" s="1941"/>
      <c r="D139" s="1941"/>
      <c r="E139" s="2016"/>
      <c r="F139" s="2016"/>
      <c r="G139" s="1941"/>
      <c r="I139" s="1817"/>
    </row>
    <row r="140" spans="1:9" s="1805" customFormat="1">
      <c r="A140" s="2016"/>
      <c r="B140" s="1941"/>
      <c r="C140" s="1941"/>
      <c r="D140" s="1941"/>
      <c r="E140" s="2016"/>
      <c r="F140" s="2016"/>
      <c r="G140" s="2016"/>
      <c r="I140" s="1817"/>
    </row>
    <row r="141" spans="1:9" s="1805" customFormat="1">
      <c r="A141" s="2016"/>
      <c r="B141" s="1941"/>
      <c r="C141" s="1941"/>
      <c r="D141" s="1941"/>
      <c r="E141" s="2016"/>
      <c r="F141" s="2016"/>
      <c r="G141" s="2016"/>
      <c r="I141" s="1817"/>
    </row>
    <row r="142" spans="1:9" s="1805" customFormat="1">
      <c r="A142" s="2016"/>
      <c r="B142" s="1941"/>
      <c r="C142" s="1941"/>
      <c r="D142" s="1941"/>
      <c r="E142" s="2016"/>
      <c r="F142" s="2016"/>
      <c r="G142" s="2016"/>
      <c r="I142" s="1817"/>
    </row>
    <row r="143" spans="1:9" s="1805" customFormat="1">
      <c r="A143" s="2016"/>
      <c r="B143" s="2016"/>
      <c r="C143" s="2016"/>
      <c r="D143" s="2016"/>
      <c r="E143" s="2016"/>
      <c r="F143" s="2016"/>
      <c r="G143" s="2016"/>
      <c r="I143" s="1817"/>
    </row>
    <row r="144" spans="1:9" s="1805" customFormat="1">
      <c r="A144" s="2016"/>
      <c r="B144" s="2016"/>
      <c r="C144" s="2016"/>
      <c r="D144" s="2016"/>
      <c r="E144" s="2016"/>
      <c r="F144" s="2016"/>
      <c r="G144" s="2016"/>
      <c r="I144" s="1817"/>
    </row>
    <row r="145" spans="1:9">
      <c r="A145" s="2016"/>
      <c r="B145" s="2016"/>
      <c r="C145" s="2016"/>
      <c r="D145" s="2016"/>
      <c r="E145" s="2016"/>
      <c r="F145" s="2016"/>
      <c r="G145" s="2016"/>
      <c r="H145" s="1805"/>
      <c r="I145" s="1817"/>
    </row>
    <row r="146" spans="1:9">
      <c r="A146" s="2016"/>
      <c r="B146" s="2016"/>
      <c r="C146" s="2016"/>
      <c r="D146" s="2016"/>
      <c r="E146" s="2016"/>
      <c r="F146" s="2016"/>
      <c r="G146" s="2016"/>
      <c r="H146" s="1805"/>
      <c r="I146" s="1817"/>
    </row>
    <row r="147" spans="1:9">
      <c r="A147" s="1805"/>
      <c r="B147" s="1805"/>
      <c r="C147" s="1805"/>
      <c r="D147" s="1805"/>
      <c r="E147" s="1805"/>
      <c r="F147" s="1805"/>
      <c r="G147" s="1805"/>
      <c r="H147" s="1805"/>
      <c r="I147" s="1817"/>
    </row>
    <row r="148" spans="1:9">
      <c r="A148" s="1805"/>
      <c r="B148" s="1805"/>
      <c r="C148" s="1805"/>
      <c r="D148" s="1805"/>
      <c r="E148" s="1805"/>
      <c r="F148" s="1805"/>
      <c r="G148" s="1805"/>
      <c r="H148" s="1805"/>
      <c r="I148" s="1817"/>
    </row>
    <row r="149" spans="1:9">
      <c r="A149" s="1805"/>
      <c r="B149" s="1805"/>
      <c r="C149" s="1805"/>
      <c r="D149" s="1805"/>
      <c r="E149" s="1805"/>
      <c r="F149" s="1805"/>
      <c r="G149" s="1805"/>
      <c r="H149" s="1805"/>
      <c r="I149" s="1817"/>
    </row>
    <row r="150" spans="1:9">
      <c r="A150" s="1805"/>
      <c r="B150" s="1805"/>
      <c r="C150" s="1805"/>
      <c r="D150" s="1805"/>
      <c r="E150" s="1805"/>
      <c r="F150" s="1805"/>
      <c r="G150" s="1805"/>
      <c r="H150" s="1805"/>
      <c r="I150" s="1817"/>
    </row>
    <row r="151" spans="1:9">
      <c r="A151" s="1805"/>
      <c r="B151" s="1805"/>
      <c r="C151" s="1805"/>
      <c r="D151" s="1805"/>
      <c r="E151" s="1805"/>
      <c r="F151" s="1805"/>
    </row>
    <row r="152" spans="1:9">
      <c r="A152" s="1805"/>
      <c r="B152" s="1805"/>
      <c r="C152" s="1805"/>
      <c r="D152" s="1805"/>
      <c r="E152" s="1805"/>
      <c r="F152" s="1805"/>
    </row>
    <row r="153" spans="1:9">
      <c r="A153" s="1805"/>
      <c r="B153" s="1805"/>
      <c r="C153" s="1805"/>
      <c r="D153" s="1805"/>
      <c r="E153" s="1805"/>
      <c r="F153" s="1805"/>
    </row>
    <row r="154" spans="1:9">
      <c r="A154" s="1805"/>
      <c r="B154" s="1805"/>
      <c r="C154" s="1805"/>
      <c r="D154" s="1805"/>
      <c r="E154" s="1805"/>
      <c r="F154" s="1805"/>
    </row>
    <row r="155" spans="1:9">
      <c r="A155" s="1805"/>
      <c r="B155" s="1805"/>
      <c r="C155" s="1805"/>
      <c r="D155" s="1805"/>
      <c r="E155" s="1805"/>
      <c r="F155" s="1805"/>
    </row>
    <row r="156" spans="1:9">
      <c r="A156" s="1805"/>
      <c r="B156" s="1805"/>
      <c r="C156" s="1805"/>
      <c r="D156" s="1805"/>
      <c r="E156" s="1805"/>
      <c r="F156" s="1805"/>
    </row>
    <row r="157" spans="1:9">
      <c r="A157" s="1805"/>
      <c r="B157" s="1805"/>
      <c r="C157" s="1805"/>
      <c r="D157" s="1805"/>
      <c r="E157" s="1805"/>
      <c r="F157" s="1805"/>
    </row>
    <row r="158" spans="1:9">
      <c r="A158" s="1805"/>
      <c r="B158" s="1805"/>
      <c r="C158" s="1805"/>
      <c r="D158" s="1805"/>
      <c r="E158" s="1805"/>
      <c r="F158" s="1805"/>
    </row>
    <row r="159" spans="1:9">
      <c r="A159" s="1805"/>
      <c r="B159" s="1805"/>
      <c r="C159" s="1805"/>
      <c r="D159" s="1805"/>
      <c r="E159" s="1805"/>
      <c r="F159" s="1805"/>
    </row>
    <row r="160" spans="1:9">
      <c r="A160" s="1805"/>
      <c r="B160" s="1805"/>
      <c r="C160" s="1805"/>
      <c r="D160" s="1805"/>
      <c r="E160" s="1805"/>
      <c r="F160" s="1805"/>
    </row>
    <row r="161" spans="1:6">
      <c r="A161" s="1805"/>
      <c r="B161" s="1805"/>
      <c r="C161" s="1805"/>
      <c r="D161" s="1805"/>
      <c r="E161" s="1805"/>
      <c r="F161" s="1805"/>
    </row>
    <row r="162" spans="1:6">
      <c r="A162" s="1805"/>
      <c r="B162" s="1805"/>
      <c r="C162" s="1805"/>
      <c r="D162" s="1805"/>
      <c r="E162" s="1805"/>
      <c r="F162" s="1805"/>
    </row>
    <row r="163" spans="1:6">
      <c r="A163" s="1805"/>
      <c r="B163" s="1805"/>
      <c r="C163" s="1805"/>
      <c r="D163" s="1805"/>
      <c r="E163" s="1805"/>
      <c r="F163" s="1805"/>
    </row>
    <row r="164" spans="1:6">
      <c r="A164" s="1805"/>
      <c r="B164" s="1805"/>
      <c r="C164" s="1805"/>
      <c r="D164" s="1805"/>
      <c r="E164" s="1805"/>
      <c r="F164" s="1805"/>
    </row>
    <row r="165" spans="1:6">
      <c r="A165" s="1805"/>
      <c r="B165" s="1805"/>
      <c r="C165" s="1805"/>
      <c r="D165" s="1805"/>
      <c r="E165" s="1805"/>
      <c r="F165" s="1805"/>
    </row>
    <row r="166" spans="1:6">
      <c r="A166" s="1805"/>
      <c r="B166" s="1805"/>
      <c r="C166" s="1805"/>
      <c r="D166" s="1805"/>
      <c r="E166" s="1805"/>
      <c r="F166" s="1805"/>
    </row>
    <row r="167" spans="1:6">
      <c r="A167" s="1805"/>
      <c r="B167" s="1805"/>
      <c r="C167" s="1805"/>
      <c r="D167" s="1805"/>
      <c r="E167" s="1805"/>
      <c r="F167" s="1805"/>
    </row>
    <row r="168" spans="1:6">
      <c r="A168" s="1805"/>
      <c r="B168" s="1805"/>
      <c r="C168" s="1805"/>
      <c r="D168" s="1805"/>
      <c r="E168" s="1805"/>
      <c r="F168" s="1805"/>
    </row>
    <row r="169" spans="1:6">
      <c r="A169" s="1805"/>
      <c r="B169" s="1805"/>
      <c r="C169" s="1805"/>
      <c r="D169" s="1805"/>
      <c r="E169" s="1805"/>
      <c r="F169" s="1805"/>
    </row>
    <row r="170" spans="1:6">
      <c r="A170" s="1805"/>
      <c r="B170" s="1805"/>
      <c r="C170" s="1805"/>
      <c r="D170" s="1805"/>
      <c r="E170" s="1805"/>
      <c r="F170" s="1805"/>
    </row>
    <row r="171" spans="1:6">
      <c r="A171" s="1805"/>
      <c r="B171" s="1805"/>
      <c r="C171" s="1805"/>
      <c r="D171" s="1805"/>
      <c r="E171" s="1805"/>
      <c r="F171" s="1805"/>
    </row>
    <row r="172" spans="1:6">
      <c r="A172" s="1805"/>
      <c r="B172" s="1805"/>
      <c r="C172" s="1805"/>
      <c r="D172" s="1805"/>
      <c r="E172" s="1805"/>
      <c r="F172" s="1805"/>
    </row>
    <row r="173" spans="1:6">
      <c r="A173" s="1805"/>
      <c r="B173" s="1805"/>
      <c r="C173" s="1805"/>
      <c r="D173" s="1805"/>
      <c r="E173" s="1805"/>
      <c r="F173" s="1805"/>
    </row>
    <row r="174" spans="1:6">
      <c r="A174" s="1805"/>
      <c r="B174" s="1805"/>
      <c r="C174" s="1805"/>
      <c r="D174" s="1805"/>
      <c r="E174" s="1805"/>
      <c r="F174" s="1805"/>
    </row>
    <row r="175" spans="1:6">
      <c r="A175" s="1805"/>
      <c r="B175" s="1805"/>
      <c r="C175" s="1805"/>
      <c r="D175" s="1805"/>
      <c r="E175" s="1805"/>
      <c r="F175" s="1805"/>
    </row>
    <row r="176" spans="1:6">
      <c r="A176" s="1805"/>
      <c r="B176" s="1805"/>
      <c r="C176" s="1805"/>
      <c r="D176" s="1805"/>
      <c r="E176" s="1805"/>
      <c r="F176" s="1805"/>
    </row>
    <row r="177" spans="1:11">
      <c r="A177" s="1805"/>
      <c r="B177" s="1805"/>
      <c r="C177" s="1805"/>
      <c r="D177" s="1805"/>
      <c r="E177" s="1805"/>
      <c r="F177" s="1805"/>
    </row>
    <row r="178" spans="1:11">
      <c r="A178" s="1805"/>
      <c r="B178" s="1805"/>
      <c r="C178" s="1805"/>
      <c r="D178" s="1805"/>
      <c r="E178" s="1805"/>
      <c r="F178" s="1805"/>
    </row>
    <row r="179" spans="1:11">
      <c r="A179" s="1805"/>
      <c r="B179" s="1805"/>
      <c r="C179" s="1805"/>
      <c r="D179" s="1805"/>
      <c r="E179" s="1805"/>
      <c r="F179" s="1805"/>
    </row>
    <row r="180" spans="1:11">
      <c r="A180" s="1805"/>
      <c r="B180" s="1805"/>
      <c r="C180" s="1805"/>
      <c r="D180" s="1805"/>
      <c r="E180" s="1805"/>
      <c r="F180" s="1805"/>
    </row>
    <row r="181" spans="1:11">
      <c r="A181" s="1805"/>
      <c r="B181" s="1805"/>
      <c r="C181" s="1805"/>
      <c r="D181" s="1805"/>
      <c r="E181" s="1805"/>
      <c r="F181" s="1805"/>
    </row>
    <row r="182" spans="1:11">
      <c r="A182" s="1805"/>
      <c r="B182" s="1805"/>
      <c r="C182" s="1805"/>
      <c r="D182" s="1805"/>
      <c r="E182" s="1805"/>
      <c r="F182" s="1805"/>
    </row>
    <row r="183" spans="1:11">
      <c r="A183" s="1805"/>
      <c r="B183" s="1805"/>
      <c r="C183" s="1805"/>
      <c r="D183" s="1805"/>
      <c r="E183" s="1805"/>
      <c r="F183" s="1805"/>
      <c r="K183" s="1794" t="s">
        <v>1865</v>
      </c>
    </row>
    <row r="184" spans="1:11" ht="30" thickBot="1">
      <c r="A184" s="1805"/>
      <c r="B184" s="1805"/>
      <c r="C184" s="1805"/>
      <c r="D184" s="1805"/>
      <c r="E184" s="1805"/>
      <c r="J184" s="2020" t="s">
        <v>1866</v>
      </c>
      <c r="K184" s="2021" t="s">
        <v>1867</v>
      </c>
    </row>
    <row r="185" spans="1:11" ht="30" thickTop="1">
      <c r="A185" s="1805"/>
      <c r="B185" s="1805"/>
      <c r="C185" s="1805"/>
      <c r="D185" s="1805"/>
      <c r="E185" s="1805"/>
      <c r="J185" s="2021" t="s">
        <v>1868</v>
      </c>
      <c r="K185" s="2022" t="s">
        <v>1869</v>
      </c>
    </row>
    <row r="186" spans="1:11">
      <c r="A186" s="1805"/>
      <c r="B186" s="1805"/>
      <c r="C186" s="1805"/>
      <c r="D186" s="1805"/>
      <c r="E186" s="1805"/>
      <c r="J186" s="2022" t="s">
        <v>1870</v>
      </c>
      <c r="K186" s="2022" t="s">
        <v>1871</v>
      </c>
    </row>
    <row r="187" spans="1:11">
      <c r="A187" s="1805"/>
      <c r="B187" s="1805"/>
      <c r="C187" s="1805"/>
      <c r="D187" s="1805"/>
      <c r="E187" s="1805"/>
      <c r="J187" s="2022" t="s">
        <v>1872</v>
      </c>
      <c r="K187" s="2022" t="s">
        <v>169</v>
      </c>
    </row>
    <row r="188" spans="1:11">
      <c r="A188" s="1805"/>
      <c r="B188" s="1805"/>
      <c r="C188" s="1805"/>
      <c r="D188" s="1805"/>
      <c r="E188" s="1805"/>
      <c r="J188" s="2022" t="s">
        <v>1873</v>
      </c>
      <c r="K188" s="2022" t="s">
        <v>1874</v>
      </c>
    </row>
    <row r="189" spans="1:11">
      <c r="A189" s="1805"/>
      <c r="B189" s="1805"/>
      <c r="C189" s="1805"/>
      <c r="D189" s="1805"/>
      <c r="E189" s="1805"/>
      <c r="J189" s="2022" t="s">
        <v>1875</v>
      </c>
      <c r="K189" s="2022" t="s">
        <v>1876</v>
      </c>
    </row>
    <row r="190" spans="1:11" ht="30" thickBot="1">
      <c r="G190" s="2023" t="s">
        <v>1877</v>
      </c>
      <c r="H190" s="2024" t="s">
        <v>1866</v>
      </c>
      <c r="I190" s="2025"/>
      <c r="J190" s="2022" t="s">
        <v>1878</v>
      </c>
      <c r="K190" s="2022" t="s">
        <v>1879</v>
      </c>
    </row>
    <row r="191" spans="1:11" ht="59.25" thickTop="1">
      <c r="G191" s="2026" t="s">
        <v>1880</v>
      </c>
      <c r="H191" s="2027" t="s">
        <v>1881</v>
      </c>
      <c r="I191" s="2028"/>
      <c r="J191" s="2022" t="s">
        <v>1882</v>
      </c>
      <c r="K191" s="2022" t="s">
        <v>1883</v>
      </c>
    </row>
    <row r="192" spans="1:11">
      <c r="G192" s="2029" t="s">
        <v>1884</v>
      </c>
      <c r="H192" s="2030" t="s">
        <v>1885</v>
      </c>
      <c r="I192" s="2031"/>
      <c r="J192" s="2022" t="s">
        <v>1886</v>
      </c>
      <c r="K192" s="2022" t="s">
        <v>1887</v>
      </c>
    </row>
    <row r="193" spans="7:11" ht="58.5">
      <c r="G193" s="2029" t="s">
        <v>1888</v>
      </c>
      <c r="H193" s="2030" t="s">
        <v>1889</v>
      </c>
      <c r="I193" s="2031"/>
      <c r="J193" s="2022" t="s">
        <v>1890</v>
      </c>
      <c r="K193" s="2022" t="s">
        <v>1891</v>
      </c>
    </row>
    <row r="194" spans="7:11">
      <c r="G194" s="2029" t="s">
        <v>1892</v>
      </c>
      <c r="H194" s="2030" t="s">
        <v>1893</v>
      </c>
      <c r="I194" s="2031"/>
      <c r="J194" s="2022" t="s">
        <v>1894</v>
      </c>
      <c r="K194" s="2022" t="s">
        <v>1895</v>
      </c>
    </row>
    <row r="195" spans="7:11">
      <c r="G195" s="2029" t="s">
        <v>1896</v>
      </c>
      <c r="H195" s="2030" t="s">
        <v>1897</v>
      </c>
      <c r="I195" s="2031"/>
      <c r="J195" s="2022" t="s">
        <v>1898</v>
      </c>
      <c r="K195" s="2022" t="s">
        <v>1899</v>
      </c>
    </row>
    <row r="196" spans="7:11">
      <c r="G196" s="2029" t="s">
        <v>1900</v>
      </c>
      <c r="H196" s="2030" t="s">
        <v>1901</v>
      </c>
      <c r="I196" s="2031"/>
      <c r="J196" s="2022" t="s">
        <v>1902</v>
      </c>
      <c r="K196" s="2022" t="s">
        <v>1903</v>
      </c>
    </row>
    <row r="197" spans="7:11">
      <c r="G197" s="2029" t="s">
        <v>1904</v>
      </c>
      <c r="H197" s="2030" t="s">
        <v>1905</v>
      </c>
      <c r="I197" s="2031"/>
      <c r="J197" s="2022" t="s">
        <v>1906</v>
      </c>
      <c r="K197" s="2022" t="s">
        <v>1907</v>
      </c>
    </row>
    <row r="198" spans="7:11">
      <c r="G198" s="2029" t="s">
        <v>1908</v>
      </c>
      <c r="H198" s="2030" t="s">
        <v>1909</v>
      </c>
      <c r="I198" s="2031"/>
      <c r="J198" s="2022" t="s">
        <v>1910</v>
      </c>
      <c r="K198" s="2022" t="s">
        <v>1911</v>
      </c>
    </row>
    <row r="199" spans="7:11">
      <c r="G199" s="2029" t="s">
        <v>1912</v>
      </c>
      <c r="H199" s="2030" t="s">
        <v>1913</v>
      </c>
      <c r="I199" s="2031"/>
      <c r="J199" s="2022" t="s">
        <v>1914</v>
      </c>
      <c r="K199" s="2022" t="s">
        <v>1915</v>
      </c>
    </row>
    <row r="200" spans="7:11">
      <c r="G200" s="2029" t="s">
        <v>1916</v>
      </c>
      <c r="H200" s="2030" t="s">
        <v>1917</v>
      </c>
      <c r="I200" s="2031"/>
      <c r="J200" s="2022" t="s">
        <v>1918</v>
      </c>
      <c r="K200" s="2022" t="s">
        <v>1919</v>
      </c>
    </row>
    <row r="201" spans="7:11">
      <c r="G201" s="2032" t="s">
        <v>1920</v>
      </c>
      <c r="H201" s="2030" t="s">
        <v>1921</v>
      </c>
      <c r="I201" s="2031"/>
      <c r="J201" s="2022" t="s">
        <v>1922</v>
      </c>
      <c r="K201" s="2022" t="s">
        <v>1923</v>
      </c>
    </row>
    <row r="202" spans="7:11">
      <c r="G202" s="2029" t="s">
        <v>1924</v>
      </c>
      <c r="H202" s="2030" t="s">
        <v>1925</v>
      </c>
      <c r="I202" s="2031"/>
      <c r="J202" s="2022" t="s">
        <v>1926</v>
      </c>
      <c r="K202" s="2022" t="s">
        <v>1927</v>
      </c>
    </row>
    <row r="203" spans="7:11">
      <c r="G203" s="2029" t="s">
        <v>1928</v>
      </c>
      <c r="H203" s="2030" t="s">
        <v>1929</v>
      </c>
      <c r="I203" s="2031"/>
      <c r="J203" s="2022" t="s">
        <v>1930</v>
      </c>
      <c r="K203" s="2022" t="s">
        <v>1931</v>
      </c>
    </row>
    <row r="204" spans="7:11">
      <c r="G204" s="2029" t="s">
        <v>1932</v>
      </c>
      <c r="H204" s="2030" t="s">
        <v>1933</v>
      </c>
      <c r="I204" s="2031"/>
      <c r="J204" s="2022"/>
      <c r="K204" s="2033" t="s">
        <v>117</v>
      </c>
    </row>
    <row r="205" spans="7:11">
      <c r="G205" s="2029" t="s">
        <v>1934</v>
      </c>
      <c r="H205" s="2030" t="s">
        <v>1935</v>
      </c>
      <c r="I205" s="2031"/>
      <c r="J205" s="2034"/>
    </row>
    <row r="206" spans="7:11">
      <c r="G206" s="2029" t="s">
        <v>1936</v>
      </c>
      <c r="H206" s="2030" t="s">
        <v>1937</v>
      </c>
      <c r="I206" s="2031"/>
    </row>
    <row r="207" spans="7:11">
      <c r="G207" s="2029" t="s">
        <v>1938</v>
      </c>
      <c r="H207" s="2030"/>
      <c r="I207" s="2031"/>
      <c r="K207" s="2035" t="s">
        <v>1939</v>
      </c>
    </row>
    <row r="208" spans="7:11">
      <c r="G208" s="2029" t="s">
        <v>1940</v>
      </c>
      <c r="H208" s="2030"/>
      <c r="I208" s="2031"/>
      <c r="K208" s="2036" t="s">
        <v>1835</v>
      </c>
    </row>
    <row r="209" spans="7:13">
      <c r="G209" s="2029" t="s">
        <v>1941</v>
      </c>
      <c r="H209" s="2030"/>
      <c r="I209" s="2031"/>
      <c r="K209" s="2035" t="s">
        <v>488</v>
      </c>
    </row>
    <row r="210" spans="7:13">
      <c r="G210" s="2029" t="s">
        <v>1942</v>
      </c>
      <c r="H210" s="2030"/>
      <c r="I210" s="2031"/>
      <c r="K210" s="2035" t="s">
        <v>498</v>
      </c>
    </row>
    <row r="211" spans="7:13">
      <c r="G211" s="2037" t="s">
        <v>1943</v>
      </c>
      <c r="H211" s="2038"/>
      <c r="I211" s="2039"/>
      <c r="K211" s="2035" t="s">
        <v>499</v>
      </c>
    </row>
    <row r="212" spans="7:13">
      <c r="G212" s="2040" t="s">
        <v>117</v>
      </c>
      <c r="K212" s="2035" t="s">
        <v>1724</v>
      </c>
    </row>
    <row r="213" spans="7:13">
      <c r="G213" s="2041" t="s">
        <v>1944</v>
      </c>
      <c r="H213" s="2042" t="s">
        <v>36</v>
      </c>
      <c r="L213" s="1794" t="s">
        <v>1945</v>
      </c>
    </row>
    <row r="214" spans="7:13">
      <c r="G214" s="2041" t="s">
        <v>1946</v>
      </c>
      <c r="H214" s="2042" t="s">
        <v>1947</v>
      </c>
      <c r="K214" s="2035" t="s">
        <v>1948</v>
      </c>
      <c r="L214" s="1794" t="s">
        <v>1949</v>
      </c>
      <c r="M214" s="1794" t="s">
        <v>1950</v>
      </c>
    </row>
    <row r="215" spans="7:13">
      <c r="G215" s="2041" t="s">
        <v>1951</v>
      </c>
      <c r="H215" s="2042" t="s">
        <v>1952</v>
      </c>
      <c r="K215" s="2035" t="s">
        <v>1953</v>
      </c>
      <c r="L215" s="1794" t="s">
        <v>1954</v>
      </c>
      <c r="M215" s="1794" t="s">
        <v>1955</v>
      </c>
    </row>
    <row r="216" spans="7:13">
      <c r="G216" s="2041" t="s">
        <v>1956</v>
      </c>
      <c r="H216" s="2042" t="s">
        <v>1835</v>
      </c>
      <c r="L216" s="1794" t="s">
        <v>1957</v>
      </c>
    </row>
    <row r="217" spans="7:13">
      <c r="G217" s="2041" t="s">
        <v>1958</v>
      </c>
      <c r="H217" s="2042" t="s">
        <v>1959</v>
      </c>
      <c r="K217" s="2035" t="s">
        <v>1960</v>
      </c>
      <c r="L217" s="1794" t="s">
        <v>1961</v>
      </c>
    </row>
    <row r="218" spans="7:13">
      <c r="G218" s="2041" t="s">
        <v>1962</v>
      </c>
      <c r="H218" s="2042" t="s">
        <v>1963</v>
      </c>
      <c r="K218" s="2035" t="s">
        <v>1964</v>
      </c>
      <c r="L218" s="1794" t="s">
        <v>1965</v>
      </c>
    </row>
    <row r="219" spans="7:13">
      <c r="G219" s="2022"/>
      <c r="H219" s="2022"/>
      <c r="K219" s="2035" t="s">
        <v>1966</v>
      </c>
      <c r="L219" s="1794" t="s">
        <v>1967</v>
      </c>
    </row>
    <row r="220" spans="7:13">
      <c r="L220" s="1794" t="s">
        <v>1968</v>
      </c>
    </row>
    <row r="221" spans="7:13">
      <c r="L221" s="1794" t="s">
        <v>1969</v>
      </c>
    </row>
    <row r="222" spans="7:13">
      <c r="G222" s="1929" t="s">
        <v>1970</v>
      </c>
      <c r="H222" s="1929"/>
      <c r="K222" s="2035" t="s">
        <v>1971</v>
      </c>
      <c r="L222" s="1794" t="s">
        <v>1972</v>
      </c>
    </row>
    <row r="223" spans="7:13">
      <c r="G223" s="1929" t="s">
        <v>1973</v>
      </c>
      <c r="H223" s="1929" t="s">
        <v>36</v>
      </c>
      <c r="K223" s="2035" t="s">
        <v>1974</v>
      </c>
      <c r="L223" s="1794" t="s">
        <v>1975</v>
      </c>
    </row>
    <row r="224" spans="7:13">
      <c r="G224" s="1929" t="s">
        <v>1946</v>
      </c>
      <c r="H224" s="1929" t="s">
        <v>1947</v>
      </c>
      <c r="L224" s="1794" t="s">
        <v>1976</v>
      </c>
    </row>
    <row r="225" spans="7:12">
      <c r="G225" s="1929" t="s">
        <v>1951</v>
      </c>
      <c r="H225" s="1929" t="s">
        <v>1952</v>
      </c>
      <c r="L225" s="1794" t="s">
        <v>1977</v>
      </c>
    </row>
    <row r="226" spans="7:12">
      <c r="G226" s="1929" t="s">
        <v>1956</v>
      </c>
      <c r="H226" s="1929" t="s">
        <v>1835</v>
      </c>
      <c r="L226" s="1794" t="s">
        <v>1978</v>
      </c>
    </row>
    <row r="227" spans="7:12">
      <c r="L227" s="1794" t="s">
        <v>1979</v>
      </c>
    </row>
    <row r="228" spans="7:12">
      <c r="L228" s="1794" t="s">
        <v>1980</v>
      </c>
    </row>
    <row r="229" spans="7:12">
      <c r="G229" s="1929" t="s">
        <v>1981</v>
      </c>
      <c r="L229" s="1794" t="s">
        <v>1982</v>
      </c>
    </row>
    <row r="230" spans="7:12">
      <c r="G230" s="1929" t="s">
        <v>1983</v>
      </c>
      <c r="H230" s="1794" t="s">
        <v>1835</v>
      </c>
      <c r="L230" s="1794" t="s">
        <v>1984</v>
      </c>
    </row>
    <row r="231" spans="7:12">
      <c r="G231" s="1929" t="s">
        <v>1985</v>
      </c>
      <c r="H231" s="1794" t="s">
        <v>488</v>
      </c>
      <c r="L231" s="1794" t="s">
        <v>1986</v>
      </c>
    </row>
    <row r="232" spans="7:12">
      <c r="L232" s="1794" t="s">
        <v>1987</v>
      </c>
    </row>
  </sheetData>
  <mergeCells count="72">
    <mergeCell ref="C94:D94"/>
    <mergeCell ref="C96:D96"/>
    <mergeCell ref="C101:D101"/>
    <mergeCell ref="D78:E78"/>
    <mergeCell ref="F78:G78"/>
    <mergeCell ref="E82:F82"/>
    <mergeCell ref="C91:D91"/>
    <mergeCell ref="C92:D92"/>
    <mergeCell ref="C93:D93"/>
    <mergeCell ref="A70:A72"/>
    <mergeCell ref="C70:E70"/>
    <mergeCell ref="C71:E71"/>
    <mergeCell ref="C72:E72"/>
    <mergeCell ref="C73:E73"/>
    <mergeCell ref="C74:E74"/>
    <mergeCell ref="A54:E54"/>
    <mergeCell ref="A55:E55"/>
    <mergeCell ref="A56:E56"/>
    <mergeCell ref="A57:E57"/>
    <mergeCell ref="A58:E58"/>
    <mergeCell ref="A59:E59"/>
    <mergeCell ref="A48:E48"/>
    <mergeCell ref="A49:E49"/>
    <mergeCell ref="A50:E50"/>
    <mergeCell ref="A51:E51"/>
    <mergeCell ref="A52:E52"/>
    <mergeCell ref="A53:E53"/>
    <mergeCell ref="A44:E44"/>
    <mergeCell ref="A45:E45"/>
    <mergeCell ref="A46:E46"/>
    <mergeCell ref="A47:E47"/>
    <mergeCell ref="B38:E38"/>
    <mergeCell ref="A39:E39"/>
    <mergeCell ref="C40:D40"/>
    <mergeCell ref="C41:D41"/>
    <mergeCell ref="A42:E42"/>
    <mergeCell ref="A43:E43"/>
    <mergeCell ref="B30:B31"/>
    <mergeCell ref="C30:E31"/>
    <mergeCell ref="A32:A37"/>
    <mergeCell ref="C32:D32"/>
    <mergeCell ref="C33:D33"/>
    <mergeCell ref="C34:E34"/>
    <mergeCell ref="C35:E35"/>
    <mergeCell ref="C36:E36"/>
    <mergeCell ref="C37:E37"/>
    <mergeCell ref="C15:E15"/>
    <mergeCell ref="C16:E16"/>
    <mergeCell ref="A17:A23"/>
    <mergeCell ref="C24:E24"/>
    <mergeCell ref="A25:A29"/>
    <mergeCell ref="C25:E25"/>
    <mergeCell ref="C26:E26"/>
    <mergeCell ref="C27:E27"/>
    <mergeCell ref="C28:E28"/>
    <mergeCell ref="C29:E29"/>
    <mergeCell ref="C9:E9"/>
    <mergeCell ref="C10:E10"/>
    <mergeCell ref="C11:E11"/>
    <mergeCell ref="C12:E12"/>
    <mergeCell ref="C13:E13"/>
    <mergeCell ref="C14:E14"/>
    <mergeCell ref="A1:D1"/>
    <mergeCell ref="A2:B2"/>
    <mergeCell ref="C2:E2"/>
    <mergeCell ref="C3:E3"/>
    <mergeCell ref="A4:A15"/>
    <mergeCell ref="C4:E4"/>
    <mergeCell ref="C5:E5"/>
    <mergeCell ref="C6:E6"/>
    <mergeCell ref="C7:E7"/>
    <mergeCell ref="C8:E8"/>
  </mergeCells>
  <dataValidations count="27">
    <dataValidation type="list" allowBlank="1" showInputMessage="1" showErrorMessage="1" sqref="C35" xr:uid="{07A126D5-2A31-4FC0-A3E2-65F1C410ED80}">
      <formula1>$A$103:$A$105</formula1>
    </dataValidation>
    <dataValidation type="list" allowBlank="1" showInputMessage="1" showErrorMessage="1" sqref="C34:E34" xr:uid="{02E4C4EC-5AA8-4E39-A79D-B88EA9501E0B}">
      <formula1>$A$92:$A$94</formula1>
    </dataValidation>
    <dataValidation type="list" allowBlank="1" showInputMessage="1" showErrorMessage="1" sqref="C33:D33" xr:uid="{5B364040-C481-40F2-99B0-8F3655F0296C}">
      <formula1>$B$92:$B$101</formula1>
    </dataValidation>
    <dataValidation type="list" allowBlank="1" showInputMessage="1" showErrorMessage="1" sqref="C32:D32" xr:uid="{E37A5070-CB36-4799-AD4F-B3B06A4B4599}">
      <formula1>$A$81:$A$88</formula1>
    </dataValidation>
    <dataValidation type="list" allowBlank="1" showInputMessage="1" showErrorMessage="1" sqref="C14:E14" xr:uid="{2C30B375-C667-4B6E-9CC9-4AD66D013B5B}">
      <formula1>$E$83:$E$85</formula1>
    </dataValidation>
    <dataValidation type="list" allowBlank="1" showInputMessage="1" showErrorMessage="1" sqref="C13:E13" xr:uid="{D83D266A-2322-4C3A-926E-A689EDCDFEFD}">
      <formula1>$C$97:$C$100</formula1>
    </dataValidation>
    <dataValidation type="list" allowBlank="1" showInputMessage="1" showErrorMessage="1" sqref="C12:E12" xr:uid="{AA744C02-7C5B-4BB3-AA74-357AF7E0A4AC}">
      <formula1>$B$81:$B$83</formula1>
    </dataValidation>
    <dataValidation type="list" allowBlank="1" showInputMessage="1" showErrorMessage="1" sqref="C10:E10" xr:uid="{D337353B-9DB9-4288-8897-8108B2E3094D}">
      <formula1>$C$75:$C$77</formula1>
    </dataValidation>
    <dataValidation type="list" allowBlank="1" showInputMessage="1" showErrorMessage="1" sqref="C9:E9" xr:uid="{814F0A53-B35D-4ED6-BDE9-035380D93EEA}">
      <formula1>$D$61:$D$68</formula1>
    </dataValidation>
    <dataValidation type="list" allowBlank="1" showInputMessage="1" showErrorMessage="1" sqref="C6:E7" xr:uid="{57E1AD1C-EAE3-4454-8E17-4854532BA8B5}">
      <formula1>$A$61:$A$63</formula1>
    </dataValidation>
    <dataValidation type="list" allowBlank="1" showInputMessage="1" showErrorMessage="1" sqref="C5:E5" xr:uid="{67BAEB65-CB16-4273-9CA5-2756DEBE626C}">
      <formula1>$B$71:$B$79</formula1>
    </dataValidation>
    <dataValidation type="list" allowBlank="1" showInputMessage="1" showErrorMessage="1" sqref="C4:E4" xr:uid="{275A30FF-413A-4991-B893-67BF5854F0B1}">
      <formula1>$B$61:$B$68</formula1>
    </dataValidation>
    <dataValidation type="list" allowBlank="1" showInputMessage="1" showErrorMessage="1" sqref="C36:E36" xr:uid="{14D4042A-93B6-4D27-8AC8-68C89D0CCE77}">
      <formula1>$C$92:$C$94</formula1>
    </dataValidation>
    <dataValidation type="list" allowBlank="1" showInputMessage="1" showErrorMessage="1" sqref="A16 A24" xr:uid="{F98C88D1-E4E6-4F75-9C99-BF84BDA0070B}">
      <formula1>$B$85:$B$89</formula1>
    </dataValidation>
    <dataValidation type="list" allowBlank="1" showInputMessage="1" showErrorMessage="1" sqref="C8:E8" xr:uid="{B3288DDE-0768-455F-A2F4-46E6D95845FF}">
      <formula1>$C$61:$C$63</formula1>
    </dataValidation>
    <dataValidation type="list" allowBlank="1" showInputMessage="1" showErrorMessage="1" sqref="C37:E37" xr:uid="{2623B42F-D263-4FB4-958E-89B4E5336A23}">
      <formula1>$D$99:$D$100</formula1>
    </dataValidation>
    <dataValidation type="list" allowBlank="1" showInputMessage="1" showErrorMessage="1" sqref="B18:B21" xr:uid="{A2F1EABC-22C3-49E4-826D-285B2158AEF4}">
      <formula1>$F$64:$F$76</formula1>
    </dataValidation>
    <dataValidation type="list" allowBlank="1" showInputMessage="1" showErrorMessage="1" sqref="C15:E15" xr:uid="{CC3AEB29-46DF-4C04-9011-F79CDA7EC9F6}">
      <formula1>$E$88:$E$89</formula1>
    </dataValidation>
    <dataValidation type="list" allowBlank="1" showInputMessage="1" showErrorMessage="1" sqref="G34" xr:uid="{F8CB6386-113E-4C76-9B8C-1223B390D216}">
      <formula1>$A$81:$A$87</formula1>
    </dataValidation>
    <dataValidation type="list" allowBlank="1" showInputMessage="1" showErrorMessage="1" sqref="H6:H7" xr:uid="{B9564F4D-9B1A-4061-B6C7-B244FD6F3774}">
      <formula1>$B$81:$B$82</formula1>
    </dataValidation>
    <dataValidation type="list" allowBlank="1" showInputMessage="1" showErrorMessage="1" sqref="C11:E11" xr:uid="{1AA441CE-6103-413D-B01B-5847256AFB9B}">
      <formula1>$C$81:$C$83</formula1>
    </dataValidation>
    <dataValidation type="list" allowBlank="1" showInputMessage="1" showErrorMessage="1" sqref="H4:I5" xr:uid="{C63CF20D-E106-46A5-9E6E-E9D456D1952A}">
      <formula1>$E$71:$E$78</formula1>
    </dataValidation>
    <dataValidation type="list" allowBlank="1" showInputMessage="1" showErrorMessage="1" sqref="W3" xr:uid="{A4FA6827-D422-496A-8550-0782E5C9BD79}">
      <formula1>$O$4:$O$8</formula1>
    </dataValidation>
    <dataValidation type="list" allowBlank="1" showInputMessage="1" showErrorMessage="1" sqref="Z4:Z7 Z17:Z25" xr:uid="{2ED89A0E-EF52-47E2-A0A8-E777D5FF54B7}">
      <formula1>$L$4:$L$8</formula1>
    </dataValidation>
    <dataValidation type="list" allowBlank="1" showInputMessage="1" showErrorMessage="1" promptTitle="درجة التصنيف" sqref="I92 W10:W16" xr:uid="{A2D2CDF2-DD29-416F-98C4-58FE597CAA0E}">
      <formula1>$K$204:$K$209</formula1>
    </dataValidation>
    <dataValidation type="list" allowBlank="1" showInputMessage="1" showErrorMessage="1" sqref="I96 I90:I91 W8:W9 G23 G25 Z3 Z8:Z16" xr:uid="{17C9498C-7B00-49F2-839E-37FC4AE1FE8D}">
      <formula1>#REF!</formula1>
    </dataValidation>
    <dataValidation type="list" allowBlank="1" showInputMessage="1" showErrorMessage="1" sqref="C135:D140 W4:W7 C104:D104 C106:D106 C115:D120 C124:D124 C126:D126" xr:uid="{06F2F114-7B66-45D0-A22F-807BE01EE19B}">
      <formula1>$J$4:$J$24</formula1>
    </dataValidation>
  </dataValidation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2"/>
  <sheetViews>
    <sheetView rightToLeft="1" workbookViewId="0">
      <selection sqref="A1:XFD22"/>
    </sheetView>
  </sheetViews>
  <sheetFormatPr defaultRowHeight="15"/>
  <sheetData>
    <row r="1" spans="1:4" s="648" customFormat="1">
      <c r="A1" s="717" t="s">
        <v>209</v>
      </c>
      <c r="B1" s="718" t="s">
        <v>148</v>
      </c>
      <c r="C1" s="1320" t="s">
        <v>501</v>
      </c>
      <c r="D1" s="1321"/>
    </row>
    <row r="2" spans="1:4" s="648" customFormat="1">
      <c r="A2" s="1322">
        <f>التوصية!A291</f>
        <v>0</v>
      </c>
      <c r="B2" s="721" t="s">
        <v>620</v>
      </c>
    </row>
    <row r="3" spans="1:4" s="648" customFormat="1">
      <c r="A3" s="1323"/>
      <c r="B3" s="722" t="s">
        <v>621</v>
      </c>
    </row>
    <row r="4" spans="1:4" s="648" customFormat="1">
      <c r="A4" s="1323"/>
      <c r="B4" s="722" t="s">
        <v>622</v>
      </c>
    </row>
    <row r="5" spans="1:4" s="648" customFormat="1">
      <c r="A5" s="1324"/>
      <c r="B5" s="723" t="s">
        <v>623</v>
      </c>
    </row>
    <row r="6" spans="1:4" s="648" customFormat="1">
      <c r="A6" s="1322">
        <f>التوصية!A292</f>
        <v>0</v>
      </c>
      <c r="B6" s="721" t="s">
        <v>620</v>
      </c>
    </row>
    <row r="7" spans="1:4" s="648" customFormat="1">
      <c r="A7" s="1323"/>
      <c r="B7" s="722" t="s">
        <v>621</v>
      </c>
    </row>
    <row r="8" spans="1:4" s="648" customFormat="1">
      <c r="A8" s="1323"/>
      <c r="B8" s="722" t="s">
        <v>622</v>
      </c>
    </row>
    <row r="9" spans="1:4" s="648" customFormat="1">
      <c r="A9" s="1324"/>
      <c r="B9" s="723" t="s">
        <v>623</v>
      </c>
    </row>
    <row r="10" spans="1:4" s="648" customFormat="1">
      <c r="A10" s="1322">
        <f>التوصية!A293</f>
        <v>0</v>
      </c>
      <c r="B10" s="721" t="s">
        <v>620</v>
      </c>
    </row>
    <row r="11" spans="1:4" s="648" customFormat="1">
      <c r="A11" s="1323"/>
      <c r="B11" s="722" t="s">
        <v>621</v>
      </c>
    </row>
    <row r="12" spans="1:4" s="648" customFormat="1">
      <c r="A12" s="1323"/>
      <c r="B12" s="722" t="s">
        <v>622</v>
      </c>
    </row>
    <row r="13" spans="1:4" s="648" customFormat="1">
      <c r="A13" s="1324"/>
      <c r="B13" s="723" t="s">
        <v>623</v>
      </c>
    </row>
    <row r="14" spans="1:4" s="648" customFormat="1">
      <c r="A14" s="1322">
        <f>التوصية!A294</f>
        <v>0</v>
      </c>
      <c r="B14" s="721" t="s">
        <v>620</v>
      </c>
    </row>
    <row r="15" spans="1:4" s="648" customFormat="1">
      <c r="A15" s="1323"/>
      <c r="B15" s="722" t="s">
        <v>621</v>
      </c>
    </row>
    <row r="16" spans="1:4" s="648" customFormat="1">
      <c r="A16" s="1323"/>
      <c r="B16" s="722" t="s">
        <v>622</v>
      </c>
    </row>
    <row r="17" spans="1:4" s="648" customFormat="1">
      <c r="A17" s="1324"/>
      <c r="B17" s="723" t="s">
        <v>623</v>
      </c>
    </row>
    <row r="18" spans="1:4" s="648" customFormat="1">
      <c r="A18" s="1322">
        <f>التوصية!A295</f>
        <v>0</v>
      </c>
      <c r="B18" s="721" t="s">
        <v>620</v>
      </c>
    </row>
    <row r="19" spans="1:4" s="648" customFormat="1">
      <c r="A19" s="1323"/>
      <c r="B19" s="722" t="s">
        <v>621</v>
      </c>
    </row>
    <row r="20" spans="1:4" s="648" customFormat="1">
      <c r="A20" s="1323"/>
      <c r="B20" s="722" t="s">
        <v>622</v>
      </c>
    </row>
    <row r="21" spans="1:4" s="648" customFormat="1">
      <c r="A21" s="1325"/>
      <c r="B21" s="724" t="s">
        <v>623</v>
      </c>
    </row>
    <row r="22" spans="1:4" s="648" customFormat="1">
      <c r="A22" s="362"/>
      <c r="B22" s="362"/>
      <c r="C22" s="362"/>
      <c r="D22" s="362"/>
    </row>
  </sheetData>
  <mergeCells count="6">
    <mergeCell ref="C1:D1"/>
    <mergeCell ref="A10:A13"/>
    <mergeCell ref="A14:A17"/>
    <mergeCell ref="A18:A21"/>
    <mergeCell ref="A2:A5"/>
    <mergeCell ref="A6:A9"/>
  </mergeCells>
  <conditionalFormatting sqref="B1">
    <cfRule type="cellIs" dxfId="142" priority="2" operator="equal">
      <formula>""</formula>
    </cfRule>
  </conditionalFormatting>
  <conditionalFormatting sqref="A1">
    <cfRule type="cellIs" dxfId="141" priority="3" operator="equal">
      <formula>""</formula>
    </cfRule>
  </conditionalFormatting>
  <conditionalFormatting sqref="C1">
    <cfRule type="cellIs" dxfId="140" priority="1" operator="equal">
      <formula>""</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A1:L188"/>
  <sheetViews>
    <sheetView showGridLines="0" rightToLeft="1" zoomScaleNormal="100" workbookViewId="0">
      <selection activeCell="H6" sqref="H6"/>
    </sheetView>
  </sheetViews>
  <sheetFormatPr defaultColWidth="9.140625" defaultRowHeight="15"/>
  <cols>
    <col min="1" max="1" width="11" style="317" bestFit="1" customWidth="1"/>
    <col min="2" max="2" width="21.42578125" style="317" bestFit="1" customWidth="1"/>
    <col min="3" max="3" width="19.85546875" style="317" bestFit="1" customWidth="1"/>
    <col min="4" max="4" width="11.5703125" style="317" customWidth="1"/>
    <col min="5" max="5" width="9.85546875" style="317" bestFit="1" customWidth="1"/>
    <col min="6" max="6" width="9.7109375" style="317" bestFit="1" customWidth="1"/>
    <col min="7" max="7" width="7.7109375" style="317" bestFit="1" customWidth="1"/>
    <col min="8" max="8" width="11" style="317" bestFit="1" customWidth="1"/>
    <col min="9" max="9" width="9.140625" style="317"/>
    <col min="10" max="10" width="22.85546875" style="317" bestFit="1" customWidth="1"/>
    <col min="11" max="11" width="9.140625" style="317"/>
    <col min="12" max="12" width="20.42578125" style="317" bestFit="1" customWidth="1"/>
    <col min="13" max="16384" width="9.140625" style="317"/>
  </cols>
  <sheetData>
    <row r="1" spans="1:12" ht="20.100000000000001" customHeight="1" thickBot="1">
      <c r="A1" s="1096" t="str">
        <f>التوصية!A2</f>
        <v>الزبون:</v>
      </c>
      <c r="B1" s="1097">
        <f>التوصية!B2</f>
        <v>0</v>
      </c>
      <c r="C1" s="1098" t="str">
        <f>التوصية!C3</f>
        <v>مدير العلاقة:</v>
      </c>
      <c r="D1" s="1099">
        <f>التوصية!D3</f>
        <v>0</v>
      </c>
      <c r="E1" s="1098" t="str">
        <f>التوصية!C2</f>
        <v>القطاع:</v>
      </c>
      <c r="F1" s="1099" t="str">
        <f>التوصية!D2</f>
        <v>سيارات</v>
      </c>
      <c r="G1" s="1098" t="s">
        <v>1615</v>
      </c>
      <c r="H1" s="1090" t="e">
        <f ca="1">ROUNDUP(SUM(B7:H7),0)</f>
        <v>#N/A</v>
      </c>
      <c r="J1" s="1034" t="s">
        <v>1561</v>
      </c>
      <c r="K1" s="1034" t="s">
        <v>489</v>
      </c>
      <c r="L1" s="1034" t="s">
        <v>1567</v>
      </c>
    </row>
    <row r="2" spans="1:12">
      <c r="J2" s="317" t="s">
        <v>1562</v>
      </c>
      <c r="K2" s="317" t="s">
        <v>1585</v>
      </c>
      <c r="L2" s="317" t="s">
        <v>1588</v>
      </c>
    </row>
    <row r="3" spans="1:12">
      <c r="A3" s="1053"/>
      <c r="B3" s="1104" t="str">
        <f>A11</f>
        <v>الزبون</v>
      </c>
      <c r="C3" s="1104" t="str">
        <f>A30</f>
        <v>الكفيل الاول</v>
      </c>
      <c r="D3" s="1104" t="str">
        <f>A43</f>
        <v>الكفيل الثاني</v>
      </c>
      <c r="E3" s="1104" t="str">
        <f>A56</f>
        <v>الكفيل الثالث</v>
      </c>
      <c r="F3" s="1104" t="str">
        <f>A69</f>
        <v>الكفيل الرابع</v>
      </c>
      <c r="G3" s="1104" t="str">
        <f>A82</f>
        <v>التمويل</v>
      </c>
      <c r="H3" s="1105" t="s">
        <v>159</v>
      </c>
      <c r="J3" s="317" t="s">
        <v>1563</v>
      </c>
      <c r="K3" s="317" t="s">
        <v>1586</v>
      </c>
      <c r="L3" s="317" t="s">
        <v>1589</v>
      </c>
    </row>
    <row r="4" spans="1:12" ht="20.100000000000001" customHeight="1">
      <c r="A4" s="1054" t="s">
        <v>1564</v>
      </c>
      <c r="B4" s="1058" t="e">
        <f ca="1">SUM(H11:H28)+H29</f>
        <v>#N/A</v>
      </c>
      <c r="C4" s="1059" t="str">
        <f>IF(التوصية!B49="","لا يوجد",SUM(H30:H41)+H42)</f>
        <v>لا يوجد</v>
      </c>
      <c r="D4" s="1059" t="str">
        <f>IF(التوصية!B79="","لا يوجد",SUM(H43:H54)+H55)</f>
        <v>لا يوجد</v>
      </c>
      <c r="E4" s="1059" t="str">
        <f>IF(التوصية!B109="","لا يوجد",SUM(H56:H67)+H68)</f>
        <v>لا يوجد</v>
      </c>
      <c r="F4" s="1059" t="str">
        <f>IF(التوصية!B139="","لا يوجد",SUM(H69:H80)+H81)</f>
        <v>لا يوجد</v>
      </c>
      <c r="G4" s="1059" t="e">
        <f>SUM(H82:H94)</f>
        <v>#DIV/0!</v>
      </c>
      <c r="H4" s="1088" t="str">
        <f>IF(AND(التوصية!B408="",التوصية!B409=""),"لا يوجد",SUM(H95:H97))</f>
        <v>لا يوجد</v>
      </c>
      <c r="L4" s="317" t="s">
        <v>1590</v>
      </c>
    </row>
    <row r="5" spans="1:12" ht="20.100000000000001" hidden="1" customHeight="1">
      <c r="A5" s="1085" t="s">
        <v>1599</v>
      </c>
      <c r="B5" s="1083"/>
      <c r="C5" s="1084"/>
      <c r="D5" s="1084">
        <f>IF(D4="لا يوجد",0,1)</f>
        <v>0</v>
      </c>
      <c r="E5" s="1084">
        <f>IF(E4="لا يوجد",0,1)</f>
        <v>0</v>
      </c>
      <c r="F5" s="1084">
        <f>IF(F4="لا يوجد",0,1)</f>
        <v>0</v>
      </c>
      <c r="G5" s="1084"/>
      <c r="H5" s="1086"/>
    </row>
    <row r="6" spans="1:12" ht="20.100000000000001" customHeight="1">
      <c r="A6" s="1055" t="s">
        <v>373</v>
      </c>
      <c r="B6" s="1052">
        <v>0.5</v>
      </c>
      <c r="C6" s="1052">
        <f>IF(SUM($D$5:$F$5)=0,0.25,IF(SUM($D$5:$F$5)=1,0.25/2,IF(SUM($D$5:$F$5)=2,0.25/3,IF(SUM($D$5:$F$5)=3,0.25/4))))</f>
        <v>0.25</v>
      </c>
      <c r="D6" s="1052" t="str">
        <f>IF(SUM($D$5:$F$5)=0,"-",IF(SUM($D$5:$F$5)=1,0.25/2,IF(SUM($D$5:$F$5)=2,0.25/3,IF(SUM($D$5:$F$5)=3,0.25/4))))</f>
        <v>-</v>
      </c>
      <c r="E6" s="1052" t="str">
        <f>IF(SUM($E$5:$F$5)=0,"-",IF(SUM($E$5:$F$5)=1,0.25/3,IF(SUM($E$5:$F$5)=2,0.25/4)))</f>
        <v>-</v>
      </c>
      <c r="F6" s="1052" t="str">
        <f>IF(SUM($F$5)=0,"-",IF(SUM($F$5)=1,0.25/4))</f>
        <v>-</v>
      </c>
      <c r="G6" s="1052">
        <f>IF(H6=0.25/2,0.25/2,0.25)</f>
        <v>0.25</v>
      </c>
      <c r="H6" s="1089" t="str">
        <f>IF(OR(التوصية!D2='بيانات للادخال'!T3,التوصية!D2='بيانات للادخال'!T4,التوصية!D2='بيانات للادخال'!T5,التوصية!D2='بيانات للادخال'!T6,التوصية!D2='بيانات للادخال'!T7,التوصية!D2='بيانات للادخال'!T8,التوصية!D2='بيانات للادخال'!T10,التوصية!D2='بيانات للادخال'!T11,التوصية!D2='بيانات للادخال'!T12),0.25/2,"-")</f>
        <v>-</v>
      </c>
    </row>
    <row r="7" spans="1:12" s="648" customFormat="1" ht="20.100000000000001" customHeight="1">
      <c r="A7" s="1056" t="s">
        <v>1596</v>
      </c>
      <c r="B7" s="1091" t="e">
        <f ca="1">B4*B6</f>
        <v>#N/A</v>
      </c>
      <c r="C7" s="1092">
        <f t="shared" ref="C7:G7" si="0">IFERROR(C4*C6,0)</f>
        <v>0</v>
      </c>
      <c r="D7" s="1109" t="str">
        <f>IF(D4="لا يوجد","-",D4*D6)</f>
        <v>-</v>
      </c>
      <c r="E7" s="1109" t="str">
        <f t="shared" ref="E7:H7" si="1">IF(E4="لا يوجد","-",E4*E6)</f>
        <v>-</v>
      </c>
      <c r="F7" s="1109" t="str">
        <f t="shared" si="1"/>
        <v>-</v>
      </c>
      <c r="G7" s="1092">
        <f t="shared" si="0"/>
        <v>0</v>
      </c>
      <c r="H7" s="1110" t="str">
        <f t="shared" si="1"/>
        <v>-</v>
      </c>
    </row>
    <row r="9" spans="1:12" ht="15.75">
      <c r="A9" s="1356" t="s">
        <v>1613</v>
      </c>
      <c r="B9" s="1357"/>
      <c r="C9" s="1357"/>
      <c r="D9" s="1357"/>
      <c r="E9" s="1357"/>
      <c r="F9" s="1357"/>
      <c r="G9" s="1357"/>
      <c r="H9" s="1358"/>
    </row>
    <row r="10" spans="1:12">
      <c r="A10" s="1060" t="s">
        <v>1565</v>
      </c>
      <c r="B10" s="1061" t="s">
        <v>1598</v>
      </c>
      <c r="C10" s="1061" t="s">
        <v>462</v>
      </c>
      <c r="D10" s="1061" t="s">
        <v>377</v>
      </c>
      <c r="E10" s="1061" t="s">
        <v>1592</v>
      </c>
      <c r="F10" s="1061" t="s">
        <v>1564</v>
      </c>
      <c r="G10" s="1061" t="s">
        <v>373</v>
      </c>
      <c r="H10" s="1062" t="s">
        <v>1596</v>
      </c>
    </row>
    <row r="11" spans="1:12">
      <c r="A11" s="1063" t="s">
        <v>385</v>
      </c>
      <c r="B11" s="1042" t="s">
        <v>395</v>
      </c>
      <c r="C11" s="1051">
        <f ca="1">التوصية!D8</f>
        <v>121.6</v>
      </c>
      <c r="D11" s="1042">
        <f ca="1">IF(C11&gt;=60,0,IF(C11+(tenor/12)&lt;=60,2,IF(AND(C11&lt;60,C11+(tenor/12)&gt;=60),1)))</f>
        <v>0</v>
      </c>
      <c r="E11" s="1042">
        <v>2</v>
      </c>
      <c r="F11" s="1043">
        <f t="shared" ref="F11:F49" ca="1" si="2">D11/E11</f>
        <v>0</v>
      </c>
      <c r="G11" s="1044">
        <f t="shared" ref="G11:G28" si="3">1/COUNT($E$11:$E$28)</f>
        <v>5.5555555555555552E-2</v>
      </c>
      <c r="H11" s="1064">
        <f ca="1">F11*G11</f>
        <v>0</v>
      </c>
    </row>
    <row r="12" spans="1:12">
      <c r="A12" s="1065"/>
      <c r="B12" s="1042" t="s">
        <v>126</v>
      </c>
      <c r="C12" s="1042">
        <f>التوصية!D7</f>
        <v>0</v>
      </c>
      <c r="D12" s="1042">
        <f>IF(C12='بيانات للادخال'!N2,1,0)</f>
        <v>0</v>
      </c>
      <c r="E12" s="1042">
        <v>1</v>
      </c>
      <c r="F12" s="1043">
        <f t="shared" si="2"/>
        <v>0</v>
      </c>
      <c r="G12" s="1044">
        <f t="shared" si="3"/>
        <v>5.5555555555555552E-2</v>
      </c>
      <c r="H12" s="1064">
        <f t="shared" ref="H12:H25" si="4">F12*G12</f>
        <v>0</v>
      </c>
    </row>
    <row r="13" spans="1:12">
      <c r="A13" s="1065"/>
      <c r="B13" s="1042" t="s">
        <v>567</v>
      </c>
      <c r="C13" s="1042" t="str">
        <f>التوصية!B9</f>
        <v>منطقة "أ" او "ب"</v>
      </c>
      <c r="D13" s="1042">
        <f>IF(C13='بيانات للادخال'!Q2,1,0)</f>
        <v>1</v>
      </c>
      <c r="E13" s="1042">
        <v>1</v>
      </c>
      <c r="F13" s="1043">
        <f t="shared" si="2"/>
        <v>1</v>
      </c>
      <c r="G13" s="1044">
        <f t="shared" si="3"/>
        <v>5.5555555555555552E-2</v>
      </c>
      <c r="H13" s="1064">
        <f t="shared" si="4"/>
        <v>5.5555555555555552E-2</v>
      </c>
    </row>
    <row r="14" spans="1:12">
      <c r="A14" s="1065"/>
      <c r="B14" s="1042" t="s">
        <v>211</v>
      </c>
      <c r="C14" s="1042">
        <f>التوصية!B21</f>
        <v>0</v>
      </c>
      <c r="D14" s="1042" t="e">
        <f>VLOOKUP(C14,'بيانات للادخال'!$X$2:$Y$14,2,FALSE)</f>
        <v>#N/A</v>
      </c>
      <c r="E14" s="1042">
        <v>2</v>
      </c>
      <c r="F14" s="1043" t="e">
        <f t="shared" si="2"/>
        <v>#N/A</v>
      </c>
      <c r="G14" s="1044">
        <f t="shared" si="3"/>
        <v>5.5555555555555552E-2</v>
      </c>
      <c r="H14" s="1064" t="e">
        <f t="shared" si="4"/>
        <v>#N/A</v>
      </c>
    </row>
    <row r="15" spans="1:12">
      <c r="A15" s="1065"/>
      <c r="B15" s="1042" t="s">
        <v>1597</v>
      </c>
      <c r="C15" s="1103">
        <f>التوصية!B23</f>
        <v>0</v>
      </c>
      <c r="D15" s="1042">
        <f>IF(التوصية!D24='بيانات للادخال'!M2,1,0)</f>
        <v>1</v>
      </c>
      <c r="E15" s="1042">
        <v>1</v>
      </c>
      <c r="F15" s="1043">
        <f t="shared" si="2"/>
        <v>1</v>
      </c>
      <c r="G15" s="1044">
        <f t="shared" si="3"/>
        <v>5.5555555555555552E-2</v>
      </c>
      <c r="H15" s="1064">
        <f t="shared" si="4"/>
        <v>5.5555555555555552E-2</v>
      </c>
    </row>
    <row r="16" spans="1:12">
      <c r="A16" s="1065"/>
      <c r="B16" s="1042" t="s">
        <v>1618</v>
      </c>
      <c r="C16" s="1106">
        <f ca="1">التوصية!D22</f>
        <v>121.6</v>
      </c>
      <c r="D16" s="1042">
        <f ca="1">IF(OR(C16="-",C16&lt;0.5),0,IF(AND(C16&gt;=0.5,C16&lt;1),1,IF(AND(C16&gt;=1,C16&lt;2),2,IF(AND(C16&gt;=2,C16&lt;=5),3,IF(AND(C16&gt;5,C16&lt;10),4,IF(C16&gt;=10,5))))))</f>
        <v>5</v>
      </c>
      <c r="E16" s="1042">
        <v>3</v>
      </c>
      <c r="F16" s="1043">
        <f t="shared" ca="1" si="2"/>
        <v>1.6666666666666667</v>
      </c>
      <c r="G16" s="1044">
        <f t="shared" si="3"/>
        <v>5.5555555555555552E-2</v>
      </c>
      <c r="H16" s="1064">
        <f t="shared" ca="1" si="4"/>
        <v>9.2592592592592587E-2</v>
      </c>
    </row>
    <row r="17" spans="1:8">
      <c r="A17" s="1065"/>
      <c r="B17" s="1042" t="s">
        <v>489</v>
      </c>
      <c r="C17" s="1042" t="str">
        <f>IF(التوصية!D24='بيانات للادخال'!M2,K2,IF(التوصية!D24='بيانات للادخال'!M3,K3))</f>
        <v>معتمد</v>
      </c>
      <c r="D17" s="1042">
        <f>IF(C17=$K$2,1,0)</f>
        <v>1</v>
      </c>
      <c r="E17" s="1042">
        <v>1</v>
      </c>
      <c r="F17" s="1043">
        <f t="shared" si="2"/>
        <v>1</v>
      </c>
      <c r="G17" s="1044">
        <f t="shared" si="3"/>
        <v>5.5555555555555552E-2</v>
      </c>
      <c r="H17" s="1064">
        <f t="shared" si="4"/>
        <v>5.5555555555555552E-2</v>
      </c>
    </row>
    <row r="18" spans="1:8">
      <c r="A18" s="1065"/>
      <c r="B18" s="1042" t="s">
        <v>1561</v>
      </c>
      <c r="C18" s="1042">
        <f>التوصية!D23+التوصية!D29+التوصية!D35+التوصية!D41</f>
        <v>0</v>
      </c>
      <c r="D18" s="1042">
        <f>IF(C18&gt;=التوصية!$D$284*2,1,0)</f>
        <v>0</v>
      </c>
      <c r="E18" s="1042">
        <v>1</v>
      </c>
      <c r="F18" s="1043">
        <f t="shared" si="2"/>
        <v>0</v>
      </c>
      <c r="G18" s="1044">
        <f t="shared" si="3"/>
        <v>5.5555555555555552E-2</v>
      </c>
      <c r="H18" s="1064">
        <f t="shared" si="4"/>
        <v>0</v>
      </c>
    </row>
    <row r="19" spans="1:8">
      <c r="A19" s="1065"/>
      <c r="B19" s="1042" t="s">
        <v>359</v>
      </c>
      <c r="C19" s="1042">
        <f>التوصية!D174</f>
        <v>0</v>
      </c>
      <c r="D19" s="1042">
        <f>IF(C19&gt;=التوصية!D23,1,0)</f>
        <v>1</v>
      </c>
      <c r="E19" s="1042">
        <v>1</v>
      </c>
      <c r="F19" s="1043">
        <f t="shared" si="2"/>
        <v>1</v>
      </c>
      <c r="G19" s="1044">
        <f t="shared" si="3"/>
        <v>5.5555555555555552E-2</v>
      </c>
      <c r="H19" s="1064">
        <f t="shared" si="4"/>
        <v>5.5555555555555552E-2</v>
      </c>
    </row>
    <row r="20" spans="1:8">
      <c r="A20" s="1065"/>
      <c r="B20" s="1042" t="s">
        <v>1566</v>
      </c>
      <c r="C20" s="1042" t="str">
        <f>IF(التوصية!D23+التوصية!D29+التوصية!D35+التوصية!D41&gt;=التوصية!D174,J2,J3)</f>
        <v>معكوس على الحساب البنكي</v>
      </c>
      <c r="D20" s="1042">
        <f>IF(C20=$J$2,1,0)</f>
        <v>1</v>
      </c>
      <c r="E20" s="1042">
        <v>1</v>
      </c>
      <c r="F20" s="1043">
        <f t="shared" si="2"/>
        <v>1</v>
      </c>
      <c r="G20" s="1044">
        <f t="shared" si="3"/>
        <v>5.5555555555555552E-2</v>
      </c>
      <c r="H20" s="1064">
        <f t="shared" si="4"/>
        <v>5.5555555555555552E-2</v>
      </c>
    </row>
    <row r="21" spans="1:8">
      <c r="A21" s="1065"/>
      <c r="B21" s="1042" t="s">
        <v>1567</v>
      </c>
      <c r="C21" s="1042" t="str">
        <f>IF(التوصية!D14='بيانات للادخال'!$L$3,"زبون قائم وملتزم بالسداد",IF(التوصية!D14='بيانات للادخال'!$L$4,"زبون قائم وغير ملتزم بالسداد","زبون جديد"))</f>
        <v>زبون جديد</v>
      </c>
      <c r="D21" s="1046">
        <f>IF(C21=$L$2,1,0)</f>
        <v>0</v>
      </c>
      <c r="E21" s="1042">
        <v>1</v>
      </c>
      <c r="F21" s="1043">
        <f t="shared" si="2"/>
        <v>0</v>
      </c>
      <c r="G21" s="1044">
        <f t="shared" si="3"/>
        <v>5.5555555555555552E-2</v>
      </c>
      <c r="H21" s="1064">
        <f t="shared" si="4"/>
        <v>0</v>
      </c>
    </row>
    <row r="22" spans="1:8">
      <c r="A22" s="1065"/>
      <c r="B22" s="1042" t="s">
        <v>1584</v>
      </c>
      <c r="C22" s="1042" t="str">
        <f>التوصية!B234</f>
        <v>لا يوجد</v>
      </c>
      <c r="D22" s="1042">
        <f>IF(C22='بيانات للادخال'!$S$6,1,0)</f>
        <v>1</v>
      </c>
      <c r="E22" s="1042">
        <v>1</v>
      </c>
      <c r="F22" s="1043">
        <f t="shared" si="2"/>
        <v>1</v>
      </c>
      <c r="G22" s="1044">
        <f t="shared" si="3"/>
        <v>5.5555555555555552E-2</v>
      </c>
      <c r="H22" s="1064">
        <f t="shared" si="4"/>
        <v>5.5555555555555552E-2</v>
      </c>
    </row>
    <row r="23" spans="1:8">
      <c r="A23" s="1065"/>
      <c r="B23" s="1042" t="s">
        <v>1569</v>
      </c>
      <c r="C23" s="1042">
        <f>التوصية!B199</f>
        <v>0</v>
      </c>
      <c r="D23" s="1042">
        <f>IF(C23="a",2,IF(C23="b",1,0))</f>
        <v>0</v>
      </c>
      <c r="E23" s="1042">
        <v>2</v>
      </c>
      <c r="F23" s="1043">
        <f t="shared" si="2"/>
        <v>0</v>
      </c>
      <c r="G23" s="1044">
        <f t="shared" si="3"/>
        <v>5.5555555555555552E-2</v>
      </c>
      <c r="H23" s="1064">
        <f t="shared" si="4"/>
        <v>0</v>
      </c>
    </row>
    <row r="24" spans="1:8">
      <c r="A24" s="1065"/>
      <c r="B24" s="1042" t="s">
        <v>1591</v>
      </c>
      <c r="C24" s="1042">
        <f>التوصية!B197</f>
        <v>0</v>
      </c>
      <c r="D24" s="1042">
        <f>IF(C24=0,2,IF(C24/C18&lt;=10,1,0))</f>
        <v>2</v>
      </c>
      <c r="E24" s="1042">
        <v>2</v>
      </c>
      <c r="F24" s="1043">
        <f t="shared" si="2"/>
        <v>1</v>
      </c>
      <c r="G24" s="1044">
        <f t="shared" si="3"/>
        <v>5.5555555555555552E-2</v>
      </c>
      <c r="H24" s="1064">
        <f t="shared" si="4"/>
        <v>5.5555555555555552E-2</v>
      </c>
    </row>
    <row r="25" spans="1:8">
      <c r="A25" s="1065"/>
      <c r="B25" s="1042" t="s">
        <v>1570</v>
      </c>
      <c r="C25" s="1042">
        <f>التوصية!B198</f>
        <v>0</v>
      </c>
      <c r="D25" s="1042">
        <f>IF(C25=0,2,IF(C25&lt;C18,1,0))</f>
        <v>2</v>
      </c>
      <c r="E25" s="1042">
        <v>2</v>
      </c>
      <c r="F25" s="1043">
        <f t="shared" si="2"/>
        <v>1</v>
      </c>
      <c r="G25" s="1044">
        <f t="shared" si="3"/>
        <v>5.5555555555555552E-2</v>
      </c>
      <c r="H25" s="1064">
        <f t="shared" si="4"/>
        <v>5.5555555555555552E-2</v>
      </c>
    </row>
    <row r="26" spans="1:8">
      <c r="A26" s="1065"/>
      <c r="B26" s="1042" t="s">
        <v>1571</v>
      </c>
      <c r="C26" s="1094" t="e">
        <f>التوصية!D291</f>
        <v>#DIV/0!</v>
      </c>
      <c r="D26" s="1042" t="e">
        <f>IF(C26&lt;=0.4,2,IF(C26&lt;=0.5,1,0))</f>
        <v>#DIV/0!</v>
      </c>
      <c r="E26" s="1042">
        <v>2</v>
      </c>
      <c r="F26" s="1043" t="e">
        <f t="shared" si="2"/>
        <v>#DIV/0!</v>
      </c>
      <c r="G26" s="1044">
        <f t="shared" si="3"/>
        <v>5.5555555555555552E-2</v>
      </c>
      <c r="H26" s="1064" t="e">
        <f>F26*G26</f>
        <v>#DIV/0!</v>
      </c>
    </row>
    <row r="27" spans="1:8">
      <c r="A27" s="1065"/>
      <c r="B27" s="1042" t="s">
        <v>476</v>
      </c>
      <c r="C27" s="1095" t="str">
        <f>التوصية!B14</f>
        <v>لا</v>
      </c>
      <c r="D27" s="1042">
        <f>IF(C27='بيانات للادخال'!$L$3,1,0)</f>
        <v>0</v>
      </c>
      <c r="E27" s="1042">
        <v>1</v>
      </c>
      <c r="F27" s="1043">
        <f>D27/E27</f>
        <v>0</v>
      </c>
      <c r="G27" s="1044">
        <f t="shared" si="3"/>
        <v>5.5555555555555552E-2</v>
      </c>
      <c r="H27" s="1064">
        <f>F27*G27</f>
        <v>0</v>
      </c>
    </row>
    <row r="28" spans="1:8">
      <c r="A28" s="1065"/>
      <c r="B28" s="1042" t="s">
        <v>1616</v>
      </c>
      <c r="C28" s="1095" t="str">
        <f>التوصية!D14</f>
        <v>-</v>
      </c>
      <c r="D28" s="1042">
        <f>IF(C28='بيانات للادخال'!$L$3,1,0)</f>
        <v>0</v>
      </c>
      <c r="E28" s="1042">
        <v>1</v>
      </c>
      <c r="F28" s="1043">
        <f>D28/E28</f>
        <v>0</v>
      </c>
      <c r="G28" s="1044">
        <f t="shared" si="3"/>
        <v>5.5555555555555552E-2</v>
      </c>
      <c r="H28" s="1064">
        <f>F28*G28</f>
        <v>0</v>
      </c>
    </row>
    <row r="29" spans="1:8">
      <c r="A29" s="1066"/>
      <c r="B29" s="1067" t="s">
        <v>1619</v>
      </c>
      <c r="C29" s="1100">
        <f>التوصية!B27</f>
        <v>0</v>
      </c>
      <c r="D29" s="1067">
        <f>IF(التوصية!D30='بيانات للادخال'!M2,1,0)</f>
        <v>1</v>
      </c>
      <c r="E29" s="1067">
        <v>1</v>
      </c>
      <c r="F29" s="1068">
        <f>D29/E29</f>
        <v>1</v>
      </c>
      <c r="G29" s="1078">
        <f>1/COUNT($E$11:$E$29)</f>
        <v>5.2631578947368418E-2</v>
      </c>
      <c r="H29" s="1069">
        <f>F29*G29</f>
        <v>5.2631578947368418E-2</v>
      </c>
    </row>
    <row r="30" spans="1:8">
      <c r="A30" s="1070" t="s">
        <v>1568</v>
      </c>
      <c r="B30" s="1071" t="s">
        <v>395</v>
      </c>
      <c r="C30" s="1072">
        <f ca="1">التوصية!D52</f>
        <v>121.6</v>
      </c>
      <c r="D30" s="1071">
        <f ca="1">IF(C30&gt;=60,0,IF(C30+(tenor/12)&lt;=60,2,IF(AND(C30&lt;60,C30+(tenor/12)&gt;=60),1)))</f>
        <v>0</v>
      </c>
      <c r="E30" s="1071">
        <v>2</v>
      </c>
      <c r="F30" s="1073">
        <f t="shared" ca="1" si="2"/>
        <v>0</v>
      </c>
      <c r="G30" s="1075">
        <f t="shared" ref="G30:G41" si="5">1/COUNT($E$30:$E$41)</f>
        <v>8.3333333333333329E-2</v>
      </c>
      <c r="H30" s="1074">
        <f t="shared" ref="H30:H41" ca="1" si="6">F30*G30</f>
        <v>0</v>
      </c>
    </row>
    <row r="31" spans="1:8">
      <c r="A31" s="1368" t="str">
        <f>IF(التوصية!B49="","HIDE",التوصية!B49)</f>
        <v>HIDE</v>
      </c>
      <c r="B31" s="1042" t="s">
        <v>211</v>
      </c>
      <c r="C31" s="1042">
        <f>التوصية!B55</f>
        <v>0</v>
      </c>
      <c r="D31" s="1042" t="e">
        <f>VLOOKUP(C31,'بيانات للادخال'!$X$2:$Y$14,2,FALSE)</f>
        <v>#N/A</v>
      </c>
      <c r="E31" s="1042">
        <v>2</v>
      </c>
      <c r="F31" s="1043" t="e">
        <f t="shared" si="2"/>
        <v>#N/A</v>
      </c>
      <c r="G31" s="1044">
        <f t="shared" si="5"/>
        <v>8.3333333333333329E-2</v>
      </c>
      <c r="H31" s="1064" t="e">
        <f t="shared" si="6"/>
        <v>#N/A</v>
      </c>
    </row>
    <row r="32" spans="1:8">
      <c r="A32" s="1368"/>
      <c r="B32" s="1042" t="s">
        <v>1597</v>
      </c>
      <c r="C32" s="1103">
        <f>التوصية!B57</f>
        <v>0</v>
      </c>
      <c r="D32" s="1042">
        <f>IF(التوصية!D58='بيانات للادخال'!$M$2,1,0)</f>
        <v>1</v>
      </c>
      <c r="E32" s="1042">
        <v>1</v>
      </c>
      <c r="F32" s="1043">
        <f t="shared" si="2"/>
        <v>1</v>
      </c>
      <c r="G32" s="1044">
        <f t="shared" si="5"/>
        <v>8.3333333333333329E-2</v>
      </c>
      <c r="H32" s="1064">
        <f t="shared" si="6"/>
        <v>8.3333333333333329E-2</v>
      </c>
    </row>
    <row r="33" spans="1:8">
      <c r="A33" s="1368"/>
      <c r="B33" s="1042" t="s">
        <v>1618</v>
      </c>
      <c r="C33" s="1106">
        <f ca="1">التوصية!D56</f>
        <v>121.6</v>
      </c>
      <c r="D33" s="1042">
        <f ca="1">IF(OR(C33="-",C33&lt;0.5),0,IF(AND(C33&gt;=0.5,C33&lt;1),1,IF(AND(C33&gt;=1,C33&lt;2),2,IF(AND(C33&gt;=2,C33&lt;=5),3,IF(AND(C33&gt;5,C33&lt;10),4,IF(C33&gt;=10,5))))))</f>
        <v>5</v>
      </c>
      <c r="E33" s="1042">
        <v>3</v>
      </c>
      <c r="F33" s="1043">
        <f t="shared" ref="F33" ca="1" si="7">D33/E33</f>
        <v>1.6666666666666667</v>
      </c>
      <c r="G33" s="1044">
        <f t="shared" si="5"/>
        <v>8.3333333333333329E-2</v>
      </c>
      <c r="H33" s="1064">
        <f t="shared" ca="1" si="6"/>
        <v>0.1388888888888889</v>
      </c>
    </row>
    <row r="34" spans="1:8">
      <c r="A34" s="1368"/>
      <c r="B34" s="1042" t="s">
        <v>489</v>
      </c>
      <c r="C34" s="1042" t="str">
        <f>IF(التوصية!D58='بيانات للادخال'!M2,"معتمد",IF(التوصية!D58='بيانات للادخال'!M3,"غير معتمد"))</f>
        <v>معتمد</v>
      </c>
      <c r="D34" s="1042">
        <f>IF(C34=$K$2,1,0)</f>
        <v>1</v>
      </c>
      <c r="E34" s="1042">
        <v>1</v>
      </c>
      <c r="F34" s="1043">
        <f t="shared" si="2"/>
        <v>1</v>
      </c>
      <c r="G34" s="1044">
        <f t="shared" si="5"/>
        <v>8.3333333333333329E-2</v>
      </c>
      <c r="H34" s="1064">
        <f t="shared" si="6"/>
        <v>8.3333333333333329E-2</v>
      </c>
    </row>
    <row r="35" spans="1:8">
      <c r="A35" s="1368"/>
      <c r="B35" s="1042" t="s">
        <v>1561</v>
      </c>
      <c r="C35" s="1042">
        <f>التوصية!D57+التوصية!D63+التوصية!D69+التوصية!D75</f>
        <v>0</v>
      </c>
      <c r="D35" s="1042">
        <f>IF(C35&gt;=التوصية!$D$284*2,1,0)</f>
        <v>0</v>
      </c>
      <c r="E35" s="1042">
        <v>1</v>
      </c>
      <c r="F35" s="1043">
        <f t="shared" si="2"/>
        <v>0</v>
      </c>
      <c r="G35" s="1044">
        <f t="shared" si="5"/>
        <v>8.3333333333333329E-2</v>
      </c>
      <c r="H35" s="1064">
        <f t="shared" si="6"/>
        <v>0</v>
      </c>
    </row>
    <row r="36" spans="1:8">
      <c r="A36" s="1065"/>
      <c r="B36" s="1042" t="s">
        <v>359</v>
      </c>
      <c r="C36" s="1042">
        <f>التوصية!D180</f>
        <v>0</v>
      </c>
      <c r="D36" s="1045">
        <f>IF(C36&gt;=التوصية!D57,1,0)</f>
        <v>1</v>
      </c>
      <c r="E36" s="1042">
        <v>1</v>
      </c>
      <c r="F36" s="1043">
        <f t="shared" si="2"/>
        <v>1</v>
      </c>
      <c r="G36" s="1044">
        <f t="shared" si="5"/>
        <v>8.3333333333333329E-2</v>
      </c>
      <c r="H36" s="1064">
        <f t="shared" si="6"/>
        <v>8.3333333333333329E-2</v>
      </c>
    </row>
    <row r="37" spans="1:8">
      <c r="A37" s="1065"/>
      <c r="B37" s="1042" t="s">
        <v>1566</v>
      </c>
      <c r="C37" s="1042" t="str">
        <f>IF(التوصية!D57+التوصية!D63+التوصية!D69+التوصية!D75&gt;=التوصية!D180,J2,J3)</f>
        <v>معكوس على الحساب البنكي</v>
      </c>
      <c r="D37" s="1042">
        <f>IF(C37=$J$2,1,0)</f>
        <v>1</v>
      </c>
      <c r="E37" s="1042">
        <v>1</v>
      </c>
      <c r="F37" s="1043">
        <f t="shared" si="2"/>
        <v>1</v>
      </c>
      <c r="G37" s="1044">
        <f t="shared" si="5"/>
        <v>8.3333333333333329E-2</v>
      </c>
      <c r="H37" s="1064">
        <f t="shared" si="6"/>
        <v>8.3333333333333329E-2</v>
      </c>
    </row>
    <row r="38" spans="1:8">
      <c r="A38" s="1065"/>
      <c r="B38" s="1042" t="s">
        <v>1584</v>
      </c>
      <c r="C38" s="1042" t="str">
        <f>التوصية!B235</f>
        <v>لا يوجد</v>
      </c>
      <c r="D38" s="1042">
        <f>IF(C38='بيانات للادخال'!$S$6,1,0)</f>
        <v>1</v>
      </c>
      <c r="E38" s="1042">
        <v>1</v>
      </c>
      <c r="F38" s="1043">
        <f t="shared" si="2"/>
        <v>1</v>
      </c>
      <c r="G38" s="1044">
        <f t="shared" si="5"/>
        <v>8.3333333333333329E-2</v>
      </c>
      <c r="H38" s="1064">
        <f t="shared" si="6"/>
        <v>8.3333333333333329E-2</v>
      </c>
    </row>
    <row r="39" spans="1:8">
      <c r="A39" s="1065"/>
      <c r="B39" s="1042" t="s">
        <v>1569</v>
      </c>
      <c r="C39" s="1042">
        <f>التوصية!B206</f>
        <v>0</v>
      </c>
      <c r="D39" s="1042">
        <f>IF(C39="a",2,IF(C39="b",1,0))</f>
        <v>0</v>
      </c>
      <c r="E39" s="1042">
        <v>2</v>
      </c>
      <c r="F39" s="1043">
        <f t="shared" si="2"/>
        <v>0</v>
      </c>
      <c r="G39" s="1044">
        <f t="shared" si="5"/>
        <v>8.3333333333333329E-2</v>
      </c>
      <c r="H39" s="1064">
        <f t="shared" si="6"/>
        <v>0</v>
      </c>
    </row>
    <row r="40" spans="1:8">
      <c r="A40" s="1065"/>
      <c r="B40" s="1042" t="s">
        <v>1570</v>
      </c>
      <c r="C40" s="1042">
        <f>التوصية!B205</f>
        <v>0</v>
      </c>
      <c r="D40" s="1042">
        <f>IF(C40=0,2,IF(C40&lt;C35,1,0))</f>
        <v>2</v>
      </c>
      <c r="E40" s="1042">
        <v>2</v>
      </c>
      <c r="F40" s="1043">
        <f t="shared" si="2"/>
        <v>1</v>
      </c>
      <c r="G40" s="1044">
        <f t="shared" si="5"/>
        <v>8.3333333333333329E-2</v>
      </c>
      <c r="H40" s="1064">
        <f t="shared" si="6"/>
        <v>8.3333333333333329E-2</v>
      </c>
    </row>
    <row r="41" spans="1:8">
      <c r="A41" s="1065"/>
      <c r="B41" s="1042" t="s">
        <v>1571</v>
      </c>
      <c r="C41" s="1094" t="e">
        <f>التوصية!D292</f>
        <v>#DIV/0!</v>
      </c>
      <c r="D41" s="1042" t="e">
        <f>IF(C41&lt;=0.4,2,IF(C41&lt;=0.5,1,0))</f>
        <v>#DIV/0!</v>
      </c>
      <c r="E41" s="1042">
        <v>2</v>
      </c>
      <c r="F41" s="1043" t="e">
        <f t="shared" si="2"/>
        <v>#DIV/0!</v>
      </c>
      <c r="G41" s="1044">
        <f t="shared" si="5"/>
        <v>8.3333333333333329E-2</v>
      </c>
      <c r="H41" s="1064" t="e">
        <f t="shared" si="6"/>
        <v>#DIV/0!</v>
      </c>
    </row>
    <row r="42" spans="1:8">
      <c r="A42" s="1066"/>
      <c r="B42" s="1042" t="s">
        <v>1619</v>
      </c>
      <c r="C42" s="1101">
        <f>التوصية!B61</f>
        <v>0</v>
      </c>
      <c r="D42" s="1042">
        <f>IF(التوصية!D64='بيانات للادخال'!$L$3,1,0)</f>
        <v>0</v>
      </c>
      <c r="E42" s="1042">
        <v>1</v>
      </c>
      <c r="F42" s="1043">
        <f>D42/E42</f>
        <v>0</v>
      </c>
      <c r="G42" s="1044">
        <f>1/COUNT(E30:E42)</f>
        <v>7.6923076923076927E-2</v>
      </c>
      <c r="H42" s="1064">
        <f>F42*G42</f>
        <v>0</v>
      </c>
    </row>
    <row r="43" spans="1:8">
      <c r="A43" s="1070" t="s">
        <v>1572</v>
      </c>
      <c r="B43" s="1071" t="s">
        <v>395</v>
      </c>
      <c r="C43" s="1072">
        <f ca="1">التوصية!D82</f>
        <v>121.6</v>
      </c>
      <c r="D43" s="1071">
        <f ca="1">IF(C43&gt;=60,0,IF(C43+(tenor/12)&lt;=60,2,IF(AND(C43&lt;60,C43+(tenor/12)&gt;=60),1)))</f>
        <v>0</v>
      </c>
      <c r="E43" s="1071">
        <v>2</v>
      </c>
      <c r="F43" s="1073">
        <f t="shared" ca="1" si="2"/>
        <v>0</v>
      </c>
      <c r="G43" s="1075">
        <f t="shared" ref="G43:G54" si="8">1/COUNT($E$43:$E$54)</f>
        <v>8.3333333333333329E-2</v>
      </c>
      <c r="H43" s="1074">
        <f t="shared" ref="H43:H54" ca="1" si="9">F43*G43</f>
        <v>0</v>
      </c>
    </row>
    <row r="44" spans="1:8">
      <c r="A44" s="1368" t="str">
        <f>IF(التوصية!B79="","HIDE",التوصية!B79)</f>
        <v>HIDE</v>
      </c>
      <c r="B44" s="1042" t="s">
        <v>211</v>
      </c>
      <c r="C44" s="1042">
        <f>التوصية!B85</f>
        <v>0</v>
      </c>
      <c r="D44" s="1042" t="e">
        <f>VLOOKUP(C44,'بيانات للادخال'!$X$2:$Y$14,2,FALSE)</f>
        <v>#N/A</v>
      </c>
      <c r="E44" s="1042">
        <v>2</v>
      </c>
      <c r="F44" s="1043" t="e">
        <f t="shared" si="2"/>
        <v>#N/A</v>
      </c>
      <c r="G44" s="1044">
        <f t="shared" si="8"/>
        <v>8.3333333333333329E-2</v>
      </c>
      <c r="H44" s="1064" t="e">
        <f t="shared" si="9"/>
        <v>#N/A</v>
      </c>
    </row>
    <row r="45" spans="1:8">
      <c r="A45" s="1369"/>
      <c r="B45" s="1042" t="s">
        <v>1597</v>
      </c>
      <c r="C45" s="1103">
        <f>التوصية!B87</f>
        <v>0</v>
      </c>
      <c r="D45" s="1042">
        <f>IF(التوصية!D88='بيانات للادخال'!$M$2,1,0)</f>
        <v>1</v>
      </c>
      <c r="E45" s="1042">
        <v>1</v>
      </c>
      <c r="F45" s="1043">
        <f t="shared" si="2"/>
        <v>1</v>
      </c>
      <c r="G45" s="1044">
        <f t="shared" si="8"/>
        <v>8.3333333333333329E-2</v>
      </c>
      <c r="H45" s="1064">
        <f t="shared" si="9"/>
        <v>8.3333333333333329E-2</v>
      </c>
    </row>
    <row r="46" spans="1:8">
      <c r="A46" s="1369"/>
      <c r="B46" s="1042" t="s">
        <v>1618</v>
      </c>
      <c r="C46" s="1106">
        <f ca="1">التوصية!D86</f>
        <v>121.6</v>
      </c>
      <c r="D46" s="1042">
        <f ca="1">IF(OR(C46="-",C46&lt;0.5),0,IF(AND(C46&gt;=0.5,C46&lt;1),1,IF(AND(C46&gt;=1,C46&lt;2),2,IF(AND(C46&gt;=2,C46&lt;=5),3,IF(AND(C46&gt;5,C46&lt;10),4,IF(C46&gt;=10,5))))))</f>
        <v>5</v>
      </c>
      <c r="E46" s="1042">
        <v>3</v>
      </c>
      <c r="F46" s="1043">
        <f t="shared" ca="1" si="2"/>
        <v>1.6666666666666667</v>
      </c>
      <c r="G46" s="1044">
        <f t="shared" si="8"/>
        <v>8.3333333333333329E-2</v>
      </c>
      <c r="H46" s="1064">
        <f t="shared" ca="1" si="9"/>
        <v>0.1388888888888889</v>
      </c>
    </row>
    <row r="47" spans="1:8">
      <c r="A47" s="1369"/>
      <c r="B47" s="1042" t="s">
        <v>489</v>
      </c>
      <c r="C47" s="1042" t="str">
        <f>IF(التوصية!D88='بيانات للادخال'!M2,"معتمد",IF(التوصية!D88='بيانات للادخال'!M3,"غير معتمد"))</f>
        <v>معتمد</v>
      </c>
      <c r="D47" s="1042">
        <f>IF(C47=$K$2,1,0)</f>
        <v>1</v>
      </c>
      <c r="E47" s="1042">
        <v>1</v>
      </c>
      <c r="F47" s="1043">
        <f t="shared" si="2"/>
        <v>1</v>
      </c>
      <c r="G47" s="1044">
        <f t="shared" si="8"/>
        <v>8.3333333333333329E-2</v>
      </c>
      <c r="H47" s="1064">
        <f t="shared" si="9"/>
        <v>8.3333333333333329E-2</v>
      </c>
    </row>
    <row r="48" spans="1:8">
      <c r="A48" s="1369"/>
      <c r="B48" s="1042" t="s">
        <v>1561</v>
      </c>
      <c r="C48" s="1042">
        <f>التوصية!D87+التوصية!D93+التوصية!D99+التوصية!D105</f>
        <v>0</v>
      </c>
      <c r="D48" s="1042">
        <f>IF(C48&gt;=التوصية!$D$284*2,1,0)</f>
        <v>0</v>
      </c>
      <c r="E48" s="1042">
        <v>1</v>
      </c>
      <c r="F48" s="1043">
        <f t="shared" si="2"/>
        <v>0</v>
      </c>
      <c r="G48" s="1044">
        <f t="shared" si="8"/>
        <v>8.3333333333333329E-2</v>
      </c>
      <c r="H48" s="1064">
        <f t="shared" si="9"/>
        <v>0</v>
      </c>
    </row>
    <row r="49" spans="1:8">
      <c r="A49" s="1065"/>
      <c r="B49" s="1042" t="s">
        <v>359</v>
      </c>
      <c r="C49" s="1042">
        <f>التوصية!D186</f>
        <v>0</v>
      </c>
      <c r="D49" s="1045">
        <f>IF(C49&gt;=التوصية!D87,1,0)</f>
        <v>1</v>
      </c>
      <c r="E49" s="1042">
        <v>1</v>
      </c>
      <c r="F49" s="1043">
        <f t="shared" si="2"/>
        <v>1</v>
      </c>
      <c r="G49" s="1044">
        <f t="shared" si="8"/>
        <v>8.3333333333333329E-2</v>
      </c>
      <c r="H49" s="1064">
        <f t="shared" si="9"/>
        <v>8.3333333333333329E-2</v>
      </c>
    </row>
    <row r="50" spans="1:8">
      <c r="A50" s="1065"/>
      <c r="B50" s="1042" t="s">
        <v>1566</v>
      </c>
      <c r="C50" s="1042">
        <f>IF(التوصية!D87+التوصية!D93+التوصية!D99+التوصية!D105&gt;=التوصية!D186,J17,J18)</f>
        <v>0</v>
      </c>
      <c r="D50" s="1042">
        <f>IF(C50=$J$2,1,0)</f>
        <v>0</v>
      </c>
      <c r="E50" s="1042">
        <v>1</v>
      </c>
      <c r="F50" s="1043">
        <f t="shared" ref="F50:F86" si="10">D50/E50</f>
        <v>0</v>
      </c>
      <c r="G50" s="1044">
        <f t="shared" si="8"/>
        <v>8.3333333333333329E-2</v>
      </c>
      <c r="H50" s="1064">
        <f t="shared" si="9"/>
        <v>0</v>
      </c>
    </row>
    <row r="51" spans="1:8">
      <c r="A51" s="1065"/>
      <c r="B51" s="1042" t="s">
        <v>1584</v>
      </c>
      <c r="C51" s="1042" t="str">
        <f>التوصية!B236</f>
        <v>لا يوجد</v>
      </c>
      <c r="D51" s="1042">
        <f>IF(C51='بيانات للادخال'!$S$6,1,0)</f>
        <v>1</v>
      </c>
      <c r="E51" s="1042">
        <v>1</v>
      </c>
      <c r="F51" s="1043">
        <f t="shared" si="10"/>
        <v>1</v>
      </c>
      <c r="G51" s="1044">
        <f t="shared" si="8"/>
        <v>8.3333333333333329E-2</v>
      </c>
      <c r="H51" s="1064">
        <f t="shared" si="9"/>
        <v>8.3333333333333329E-2</v>
      </c>
    </row>
    <row r="52" spans="1:8">
      <c r="A52" s="1065"/>
      <c r="B52" s="1042" t="s">
        <v>1569</v>
      </c>
      <c r="C52" s="1042">
        <f>التوصية!B213</f>
        <v>0</v>
      </c>
      <c r="D52" s="1042">
        <f>IF(C52="a",2,IF(C52="b",1,0))</f>
        <v>0</v>
      </c>
      <c r="E52" s="1042">
        <v>2</v>
      </c>
      <c r="F52" s="1043">
        <f t="shared" si="10"/>
        <v>0</v>
      </c>
      <c r="G52" s="1044">
        <f t="shared" si="8"/>
        <v>8.3333333333333329E-2</v>
      </c>
      <c r="H52" s="1064">
        <f t="shared" si="9"/>
        <v>0</v>
      </c>
    </row>
    <row r="53" spans="1:8">
      <c r="A53" s="1065"/>
      <c r="B53" s="1042" t="s">
        <v>1570</v>
      </c>
      <c r="C53" s="1042">
        <f>التوصية!B212</f>
        <v>0</v>
      </c>
      <c r="D53" s="1042">
        <f>IF(C53=0,2,IF(C53&lt;C48,1,0))</f>
        <v>2</v>
      </c>
      <c r="E53" s="1042">
        <v>2</v>
      </c>
      <c r="F53" s="1043">
        <f t="shared" si="10"/>
        <v>1</v>
      </c>
      <c r="G53" s="1044">
        <f t="shared" si="8"/>
        <v>8.3333333333333329E-2</v>
      </c>
      <c r="H53" s="1064">
        <f t="shared" si="9"/>
        <v>8.3333333333333329E-2</v>
      </c>
    </row>
    <row r="54" spans="1:8">
      <c r="A54" s="1065"/>
      <c r="B54" s="1042" t="s">
        <v>1571</v>
      </c>
      <c r="C54" s="1094" t="e">
        <f>التوصية!D293</f>
        <v>#DIV/0!</v>
      </c>
      <c r="D54" s="1042" t="e">
        <f>IF(C54&lt;=0.4,2,IF(C54&lt;=0.5,1,0))</f>
        <v>#DIV/0!</v>
      </c>
      <c r="E54" s="1042">
        <v>2</v>
      </c>
      <c r="F54" s="1043" t="e">
        <f t="shared" si="10"/>
        <v>#DIV/0!</v>
      </c>
      <c r="G54" s="1044">
        <f t="shared" si="8"/>
        <v>8.3333333333333329E-2</v>
      </c>
      <c r="H54" s="1064" t="e">
        <f t="shared" si="9"/>
        <v>#DIV/0!</v>
      </c>
    </row>
    <row r="55" spans="1:8">
      <c r="A55" s="1066"/>
      <c r="B55" s="1067" t="s">
        <v>1619</v>
      </c>
      <c r="C55" s="1102">
        <f>التوصية!B91</f>
        <v>0</v>
      </c>
      <c r="D55" s="1067">
        <f>IF(التوصية!D94='بيانات للادخال'!$L$3,1,0)</f>
        <v>0</v>
      </c>
      <c r="E55" s="1067">
        <v>1</v>
      </c>
      <c r="F55" s="1068">
        <f>D55/E55</f>
        <v>0</v>
      </c>
      <c r="G55" s="1078">
        <f>1/COUNT(E43:E55)</f>
        <v>7.6923076923076927E-2</v>
      </c>
      <c r="H55" s="1069">
        <f>F55*G55</f>
        <v>0</v>
      </c>
    </row>
    <row r="56" spans="1:8">
      <c r="A56" s="1070" t="s">
        <v>637</v>
      </c>
      <c r="B56" s="1071" t="s">
        <v>395</v>
      </c>
      <c r="C56" s="1072">
        <f ca="1">التوصية!D112</f>
        <v>121.6</v>
      </c>
      <c r="D56" s="1071">
        <f ca="1">IF(C56&gt;=60,0,IF(C56+(tenor/12)&lt;=60,2,IF(AND(C56&lt;60,C56+(tenor/12)&gt;=60),1)))</f>
        <v>0</v>
      </c>
      <c r="E56" s="1071">
        <v>2</v>
      </c>
      <c r="F56" s="1073">
        <f t="shared" ca="1" si="10"/>
        <v>0</v>
      </c>
      <c r="G56" s="1075">
        <f t="shared" ref="G56:G67" si="11">1/COUNT($E$56:$E$67)</f>
        <v>8.3333333333333329E-2</v>
      </c>
      <c r="H56" s="1074">
        <f t="shared" ref="H56:H67" ca="1" si="12">F56*G56</f>
        <v>0</v>
      </c>
    </row>
    <row r="57" spans="1:8">
      <c r="A57" s="1368" t="str">
        <f>IF(التوصية!B109="","HIDE",التوصية!B109)</f>
        <v>HIDE</v>
      </c>
      <c r="B57" s="1042" t="s">
        <v>211</v>
      </c>
      <c r="C57" s="1042">
        <f>التوصية!B115</f>
        <v>0</v>
      </c>
      <c r="D57" s="1042" t="e">
        <f>VLOOKUP(C57,'بيانات للادخال'!$X$2:$Y$14,2,FALSE)</f>
        <v>#N/A</v>
      </c>
      <c r="E57" s="1042">
        <v>2</v>
      </c>
      <c r="F57" s="1043" t="e">
        <f t="shared" si="10"/>
        <v>#N/A</v>
      </c>
      <c r="G57" s="1044">
        <f t="shared" si="11"/>
        <v>8.3333333333333329E-2</v>
      </c>
      <c r="H57" s="1064" t="e">
        <f t="shared" si="12"/>
        <v>#N/A</v>
      </c>
    </row>
    <row r="58" spans="1:8">
      <c r="A58" s="1369"/>
      <c r="B58" s="1042" t="s">
        <v>1597</v>
      </c>
      <c r="C58" s="1103">
        <f>التوصية!B117</f>
        <v>0</v>
      </c>
      <c r="D58" s="1042">
        <f>IF(التوصية!D118='بيانات للادخال'!$M$2,1,0)</f>
        <v>0</v>
      </c>
      <c r="E58" s="1042">
        <v>1</v>
      </c>
      <c r="F58" s="1043">
        <f t="shared" si="10"/>
        <v>0</v>
      </c>
      <c r="G58" s="1044">
        <f t="shared" si="11"/>
        <v>8.3333333333333329E-2</v>
      </c>
      <c r="H58" s="1064">
        <f t="shared" si="12"/>
        <v>0</v>
      </c>
    </row>
    <row r="59" spans="1:8">
      <c r="A59" s="1369"/>
      <c r="B59" s="1042" t="s">
        <v>1618</v>
      </c>
      <c r="C59" s="1106">
        <f ca="1">التوصية!D116</f>
        <v>121.6</v>
      </c>
      <c r="D59" s="1042">
        <f ca="1">IF(OR(C59="-",C59&lt;0.5),0,IF(AND(C59&gt;=0.5,C59&lt;1),1,IF(AND(C59&gt;=1,C59&lt;2),2,IF(AND(C59&gt;=2,C59&lt;=5),3,IF(AND(C59&gt;5,C59&lt;10),4,IF(C59&gt;=10,5))))))</f>
        <v>5</v>
      </c>
      <c r="E59" s="1042">
        <v>3</v>
      </c>
      <c r="F59" s="1043">
        <f t="shared" ref="F59" ca="1" si="13">D59/E59</f>
        <v>1.6666666666666667</v>
      </c>
      <c r="G59" s="1044">
        <f t="shared" si="11"/>
        <v>8.3333333333333329E-2</v>
      </c>
      <c r="H59" s="1064">
        <f t="shared" ref="H59" ca="1" si="14">F59*G59</f>
        <v>0.1388888888888889</v>
      </c>
    </row>
    <row r="60" spans="1:8">
      <c r="A60" s="1369"/>
      <c r="B60" s="1042" t="s">
        <v>489</v>
      </c>
      <c r="C60" s="1042" t="str">
        <f>IF(التوصية!D118='بيانات للادخال'!M13,"معتمد",IF(التوصية!D118='بيانات للادخال'!M14,"غير معتمد"))</f>
        <v>معتمد</v>
      </c>
      <c r="D60" s="1042">
        <f>IF(C60=$K$2,1,0)</f>
        <v>1</v>
      </c>
      <c r="E60" s="1042">
        <v>1</v>
      </c>
      <c r="F60" s="1043">
        <f t="shared" si="10"/>
        <v>1</v>
      </c>
      <c r="G60" s="1044">
        <f t="shared" si="11"/>
        <v>8.3333333333333329E-2</v>
      </c>
      <c r="H60" s="1064">
        <f t="shared" si="12"/>
        <v>8.3333333333333329E-2</v>
      </c>
    </row>
    <row r="61" spans="1:8">
      <c r="A61" s="1369"/>
      <c r="B61" s="1042" t="s">
        <v>1561</v>
      </c>
      <c r="C61" s="1042">
        <f>التوصية!D117+التوصية!D123+التوصية!D129+التوصية!D135</f>
        <v>0</v>
      </c>
      <c r="D61" s="1045">
        <f>IF(C61&gt;=التوصية!$D$284*2,1,0)</f>
        <v>0</v>
      </c>
      <c r="E61" s="1042">
        <v>1</v>
      </c>
      <c r="F61" s="1043">
        <f t="shared" si="10"/>
        <v>0</v>
      </c>
      <c r="G61" s="1044">
        <f t="shared" si="11"/>
        <v>8.3333333333333329E-2</v>
      </c>
      <c r="H61" s="1064">
        <f t="shared" si="12"/>
        <v>0</v>
      </c>
    </row>
    <row r="62" spans="1:8">
      <c r="A62" s="1065"/>
      <c r="B62" s="1042" t="s">
        <v>359</v>
      </c>
      <c r="C62" s="1042">
        <f>التوصية!D186</f>
        <v>0</v>
      </c>
      <c r="D62" s="1045">
        <f>IF(C62&gt;=التوصية!D117,1,0)</f>
        <v>1</v>
      </c>
      <c r="E62" s="1042">
        <v>1</v>
      </c>
      <c r="F62" s="1043">
        <f t="shared" si="10"/>
        <v>1</v>
      </c>
      <c r="G62" s="1044">
        <f t="shared" si="11"/>
        <v>8.3333333333333329E-2</v>
      </c>
      <c r="H62" s="1064">
        <f t="shared" si="12"/>
        <v>8.3333333333333329E-2</v>
      </c>
    </row>
    <row r="63" spans="1:8">
      <c r="A63" s="1065"/>
      <c r="B63" s="1042" t="s">
        <v>1566</v>
      </c>
      <c r="C63" s="1042">
        <f>IF(التوصية!D117+التوصية!D123+التوصية!D129+التوصية!D135&gt;=التوصية!D186,J30,J31)</f>
        <v>0</v>
      </c>
      <c r="D63" s="1045">
        <f>IF(C63=$J$2,1,0)</f>
        <v>0</v>
      </c>
      <c r="E63" s="1042">
        <v>1</v>
      </c>
      <c r="F63" s="1043">
        <f t="shared" si="10"/>
        <v>0</v>
      </c>
      <c r="G63" s="1044">
        <f t="shared" si="11"/>
        <v>8.3333333333333329E-2</v>
      </c>
      <c r="H63" s="1064">
        <f t="shared" si="12"/>
        <v>0</v>
      </c>
    </row>
    <row r="64" spans="1:8">
      <c r="A64" s="1065"/>
      <c r="B64" s="1042" t="s">
        <v>1584</v>
      </c>
      <c r="C64" s="1042" t="str">
        <f>التوصية!B237</f>
        <v>لا يوجد</v>
      </c>
      <c r="D64" s="1045">
        <f>IF(C64='بيانات للادخال'!$S$6,1,0)</f>
        <v>1</v>
      </c>
      <c r="E64" s="1042">
        <v>1</v>
      </c>
      <c r="F64" s="1043">
        <f t="shared" si="10"/>
        <v>1</v>
      </c>
      <c r="G64" s="1044">
        <f t="shared" si="11"/>
        <v>8.3333333333333329E-2</v>
      </c>
      <c r="H64" s="1064">
        <f t="shared" si="12"/>
        <v>8.3333333333333329E-2</v>
      </c>
    </row>
    <row r="65" spans="1:8">
      <c r="A65" s="1065"/>
      <c r="B65" s="1042" t="s">
        <v>1569</v>
      </c>
      <c r="C65" s="1042">
        <f>التوصية!B220</f>
        <v>0</v>
      </c>
      <c r="D65" s="1045">
        <f>IF(C65="a",2,IF(C65="b",1,0))</f>
        <v>0</v>
      </c>
      <c r="E65" s="1042">
        <v>2</v>
      </c>
      <c r="F65" s="1043">
        <f t="shared" si="10"/>
        <v>0</v>
      </c>
      <c r="G65" s="1044">
        <f t="shared" si="11"/>
        <v>8.3333333333333329E-2</v>
      </c>
      <c r="H65" s="1064">
        <f t="shared" si="12"/>
        <v>0</v>
      </c>
    </row>
    <row r="66" spans="1:8">
      <c r="A66" s="1065"/>
      <c r="B66" s="1042" t="s">
        <v>1570</v>
      </c>
      <c r="C66" s="1042">
        <f>التوصية!B219</f>
        <v>0</v>
      </c>
      <c r="D66" s="1045">
        <f>IF(C66=0,2,IF(C66&lt;C61,1,0))</f>
        <v>2</v>
      </c>
      <c r="E66" s="1042">
        <v>2</v>
      </c>
      <c r="F66" s="1043">
        <f t="shared" si="10"/>
        <v>1</v>
      </c>
      <c r="G66" s="1044">
        <f t="shared" si="11"/>
        <v>8.3333333333333329E-2</v>
      </c>
      <c r="H66" s="1064">
        <f t="shared" si="12"/>
        <v>8.3333333333333329E-2</v>
      </c>
    </row>
    <row r="67" spans="1:8">
      <c r="A67" s="1065"/>
      <c r="B67" s="1042" t="s">
        <v>1571</v>
      </c>
      <c r="C67" s="1094" t="e">
        <f>التوصية!D294</f>
        <v>#DIV/0!</v>
      </c>
      <c r="D67" s="1042" t="e">
        <f>IF(C67&lt;=0.4,2,IF(C67&lt;=0.5,1,0))</f>
        <v>#DIV/0!</v>
      </c>
      <c r="E67" s="1042">
        <v>2</v>
      </c>
      <c r="F67" s="1043" t="e">
        <f t="shared" si="10"/>
        <v>#DIV/0!</v>
      </c>
      <c r="G67" s="1044">
        <f t="shared" si="11"/>
        <v>8.3333333333333329E-2</v>
      </c>
      <c r="H67" s="1064" t="e">
        <f t="shared" si="12"/>
        <v>#DIV/0!</v>
      </c>
    </row>
    <row r="68" spans="1:8">
      <c r="A68" s="1066"/>
      <c r="B68" s="1067" t="s">
        <v>1619</v>
      </c>
      <c r="C68" s="1102">
        <f>التوصية!B121</f>
        <v>0</v>
      </c>
      <c r="D68" s="1067">
        <f>IF(التوصية!D124='بيانات للادخال'!$L$3,1,0)</f>
        <v>0</v>
      </c>
      <c r="E68" s="1067">
        <v>1</v>
      </c>
      <c r="F68" s="1068">
        <f>D68/E68</f>
        <v>0</v>
      </c>
      <c r="G68" s="1078">
        <f>1/COUNT(E56:E68)</f>
        <v>7.6923076923076927E-2</v>
      </c>
      <c r="H68" s="1069">
        <f>F68*G68</f>
        <v>0</v>
      </c>
    </row>
    <row r="69" spans="1:8">
      <c r="A69" s="1070" t="s">
        <v>638</v>
      </c>
      <c r="B69" s="1071" t="s">
        <v>395</v>
      </c>
      <c r="C69" s="1072">
        <f ca="1">التوصية!D142</f>
        <v>121.6</v>
      </c>
      <c r="D69" s="1071">
        <f ca="1">IF(C69&gt;=60,0,IF(C69+(tenor/12)&lt;=60,2,IF(AND(C69&lt;60,C69+(tenor/12)&gt;=60),1)))</f>
        <v>0</v>
      </c>
      <c r="E69" s="1071">
        <v>2</v>
      </c>
      <c r="F69" s="1073">
        <f t="shared" ca="1" si="10"/>
        <v>0</v>
      </c>
      <c r="G69" s="1075">
        <f t="shared" ref="G69:G80" si="15">1/COUNT($E$69:$E$80)</f>
        <v>8.3333333333333329E-2</v>
      </c>
      <c r="H69" s="1074">
        <f t="shared" ref="H69:H94" ca="1" si="16">F69*G69</f>
        <v>0</v>
      </c>
    </row>
    <row r="70" spans="1:8">
      <c r="A70" s="1368" t="str">
        <f>IF(التوصية!B139="","HIDE",التوصية!B139)</f>
        <v>HIDE</v>
      </c>
      <c r="B70" s="1042" t="s">
        <v>211</v>
      </c>
      <c r="C70" s="1042">
        <f>التوصية!B145</f>
        <v>0</v>
      </c>
      <c r="D70" s="1042" t="e">
        <f>VLOOKUP(C70,'بيانات للادخال'!$X$2:$Y$14,2,FALSE)</f>
        <v>#N/A</v>
      </c>
      <c r="E70" s="1042">
        <v>2</v>
      </c>
      <c r="F70" s="1043" t="e">
        <f t="shared" si="10"/>
        <v>#N/A</v>
      </c>
      <c r="G70" s="1044">
        <f t="shared" si="15"/>
        <v>8.3333333333333329E-2</v>
      </c>
      <c r="H70" s="1064" t="e">
        <f t="shared" si="16"/>
        <v>#N/A</v>
      </c>
    </row>
    <row r="71" spans="1:8">
      <c r="A71" s="1369"/>
      <c r="B71" s="1042" t="s">
        <v>1597</v>
      </c>
      <c r="C71" s="1103">
        <f>التوصية!B147</f>
        <v>0</v>
      </c>
      <c r="D71" s="1042">
        <f>IF(التوصية!D148='بيانات للادخال'!$M$2,1,0)</f>
        <v>0</v>
      </c>
      <c r="E71" s="1042">
        <v>1</v>
      </c>
      <c r="F71" s="1043">
        <f t="shared" si="10"/>
        <v>0</v>
      </c>
      <c r="G71" s="1044">
        <f t="shared" si="15"/>
        <v>8.3333333333333329E-2</v>
      </c>
      <c r="H71" s="1064">
        <f t="shared" si="16"/>
        <v>0</v>
      </c>
    </row>
    <row r="72" spans="1:8">
      <c r="A72" s="1369"/>
      <c r="B72" s="1042" t="s">
        <v>1618</v>
      </c>
      <c r="C72" s="1106">
        <f ca="1">التوصية!D146</f>
        <v>121.6</v>
      </c>
      <c r="D72" s="1042">
        <f ca="1">IF(OR(C72="-",C72&lt;0.5),0,IF(AND(C72&gt;=0.5,C72&lt;1),1,IF(AND(C72&gt;=1,C72&lt;2),2,IF(AND(C72&gt;=2,C72&lt;=5),3,IF(AND(C72&gt;5,C72&lt;10),4,IF(C72&gt;=10,5))))))</f>
        <v>5</v>
      </c>
      <c r="E72" s="1042">
        <v>3</v>
      </c>
      <c r="F72" s="1043">
        <f t="shared" ref="F72" ca="1" si="17">D72/E72</f>
        <v>1.6666666666666667</v>
      </c>
      <c r="G72" s="1044">
        <f t="shared" si="15"/>
        <v>8.3333333333333329E-2</v>
      </c>
      <c r="H72" s="1064">
        <f t="shared" ref="H72" ca="1" si="18">F72*G72</f>
        <v>0.1388888888888889</v>
      </c>
    </row>
    <row r="73" spans="1:8">
      <c r="A73" s="1369"/>
      <c r="B73" s="1042" t="s">
        <v>489</v>
      </c>
      <c r="C73" s="1042" t="str">
        <f>IF(التوصية!D148='بيانات للادخال'!M23,"معتمد",IF(التوصية!D148='بيانات للادخال'!M24,"غير معتمد"))</f>
        <v>معتمد</v>
      </c>
      <c r="D73" s="1042">
        <f>IF(C73=$K$2,1,0)</f>
        <v>1</v>
      </c>
      <c r="E73" s="1042">
        <v>1</v>
      </c>
      <c r="F73" s="1043">
        <f t="shared" si="10"/>
        <v>1</v>
      </c>
      <c r="G73" s="1044">
        <f t="shared" si="15"/>
        <v>8.3333333333333329E-2</v>
      </c>
      <c r="H73" s="1064">
        <f t="shared" si="16"/>
        <v>8.3333333333333329E-2</v>
      </c>
    </row>
    <row r="74" spans="1:8">
      <c r="A74" s="1369"/>
      <c r="B74" s="1042" t="s">
        <v>1561</v>
      </c>
      <c r="C74" s="1042">
        <f>التوصية!D147+التوصية!D153+التوصية!D159+التوصية!D165</f>
        <v>0</v>
      </c>
      <c r="D74" s="1045">
        <f>IF(C74&gt;=التوصية!$D$284*2,1,0)</f>
        <v>0</v>
      </c>
      <c r="E74" s="1042">
        <v>1</v>
      </c>
      <c r="F74" s="1043">
        <f t="shared" si="10"/>
        <v>0</v>
      </c>
      <c r="G74" s="1044">
        <f t="shared" si="15"/>
        <v>8.3333333333333329E-2</v>
      </c>
      <c r="H74" s="1064">
        <f t="shared" si="16"/>
        <v>0</v>
      </c>
    </row>
    <row r="75" spans="1:8">
      <c r="A75" s="1065"/>
      <c r="B75" s="1042" t="s">
        <v>359</v>
      </c>
      <c r="C75" s="1042">
        <f>التوصية!D192</f>
        <v>0</v>
      </c>
      <c r="D75" s="1045">
        <f>IF(C75&gt;=التوصية!D147,1,0)</f>
        <v>1</v>
      </c>
      <c r="E75" s="1042">
        <v>1</v>
      </c>
      <c r="F75" s="1043">
        <f t="shared" si="10"/>
        <v>1</v>
      </c>
      <c r="G75" s="1044">
        <f t="shared" si="15"/>
        <v>8.3333333333333329E-2</v>
      </c>
      <c r="H75" s="1064">
        <f t="shared" si="16"/>
        <v>8.3333333333333329E-2</v>
      </c>
    </row>
    <row r="76" spans="1:8">
      <c r="A76" s="1065"/>
      <c r="B76" s="1042" t="s">
        <v>1566</v>
      </c>
      <c r="C76" s="1042">
        <f>IF(التوصية!D147+التوصية!D153+التوصية!D159+التوصية!D165&gt;=التوصية!D192,J43,J44)</f>
        <v>0</v>
      </c>
      <c r="D76" s="1045">
        <f>IF(C76=$J$2,1,0)</f>
        <v>0</v>
      </c>
      <c r="E76" s="1042">
        <v>1</v>
      </c>
      <c r="F76" s="1043">
        <f t="shared" si="10"/>
        <v>0</v>
      </c>
      <c r="G76" s="1044">
        <f t="shared" si="15"/>
        <v>8.3333333333333329E-2</v>
      </c>
      <c r="H76" s="1064">
        <f t="shared" si="16"/>
        <v>0</v>
      </c>
    </row>
    <row r="77" spans="1:8">
      <c r="A77" s="1065"/>
      <c r="B77" s="1042" t="s">
        <v>1584</v>
      </c>
      <c r="C77" s="1042">
        <f>التوصية!B238</f>
        <v>0</v>
      </c>
      <c r="D77" s="1045">
        <f>IF(C77='بيانات للادخال'!$S$6,1,0)</f>
        <v>0</v>
      </c>
      <c r="E77" s="1042">
        <v>1</v>
      </c>
      <c r="F77" s="1043">
        <f t="shared" si="10"/>
        <v>0</v>
      </c>
      <c r="G77" s="1044">
        <f t="shared" si="15"/>
        <v>8.3333333333333329E-2</v>
      </c>
      <c r="H77" s="1064">
        <f t="shared" si="16"/>
        <v>0</v>
      </c>
    </row>
    <row r="78" spans="1:8">
      <c r="A78" s="1065"/>
      <c r="B78" s="1042" t="s">
        <v>1569</v>
      </c>
      <c r="C78" s="1042">
        <f>التوصية!B227</f>
        <v>0</v>
      </c>
      <c r="D78" s="1045">
        <f>IF(C78="a",2,IF(C78="b",1,0))</f>
        <v>0</v>
      </c>
      <c r="E78" s="1042">
        <v>2</v>
      </c>
      <c r="F78" s="1043">
        <f t="shared" si="10"/>
        <v>0</v>
      </c>
      <c r="G78" s="1044">
        <f t="shared" si="15"/>
        <v>8.3333333333333329E-2</v>
      </c>
      <c r="H78" s="1064">
        <f t="shared" si="16"/>
        <v>0</v>
      </c>
    </row>
    <row r="79" spans="1:8">
      <c r="A79" s="1065"/>
      <c r="B79" s="1042" t="s">
        <v>1570</v>
      </c>
      <c r="C79" s="1042">
        <f>التوصية!B226</f>
        <v>0</v>
      </c>
      <c r="D79" s="1045">
        <f>IF(C79=0,2,IF(C79&lt;C74,1,0))</f>
        <v>2</v>
      </c>
      <c r="E79" s="1042">
        <v>2</v>
      </c>
      <c r="F79" s="1043">
        <f t="shared" si="10"/>
        <v>1</v>
      </c>
      <c r="G79" s="1044">
        <f t="shared" si="15"/>
        <v>8.3333333333333329E-2</v>
      </c>
      <c r="H79" s="1064">
        <f t="shared" si="16"/>
        <v>8.3333333333333329E-2</v>
      </c>
    </row>
    <row r="80" spans="1:8">
      <c r="A80" s="1065"/>
      <c r="B80" s="1042" t="s">
        <v>1571</v>
      </c>
      <c r="C80" s="1094" t="e">
        <f>التوصية!D295</f>
        <v>#DIV/0!</v>
      </c>
      <c r="D80" s="1045" t="e">
        <f>IF(C80&lt;=0.4,2,IF(C80&lt;=0.5,1,0))</f>
        <v>#DIV/0!</v>
      </c>
      <c r="E80" s="1042">
        <v>2</v>
      </c>
      <c r="F80" s="1043" t="e">
        <f t="shared" si="10"/>
        <v>#DIV/0!</v>
      </c>
      <c r="G80" s="1044">
        <f t="shared" si="15"/>
        <v>8.3333333333333329E-2</v>
      </c>
      <c r="H80" s="1064" t="e">
        <f t="shared" si="16"/>
        <v>#DIV/0!</v>
      </c>
    </row>
    <row r="81" spans="1:8">
      <c r="A81" s="1066"/>
      <c r="B81" s="1067" t="s">
        <v>1619</v>
      </c>
      <c r="C81" s="1102">
        <f>التوصية!B151</f>
        <v>0</v>
      </c>
      <c r="D81" s="1067">
        <f>IF(التوصية!D154='بيانات للادخال'!$L$3,1,0)</f>
        <v>0</v>
      </c>
      <c r="E81" s="1067">
        <v>1</v>
      </c>
      <c r="F81" s="1068">
        <f>D81/E81</f>
        <v>0</v>
      </c>
      <c r="G81" s="1078">
        <f>1/COUNT(E69:E81)</f>
        <v>7.6923076923076927E-2</v>
      </c>
      <c r="H81" s="1069">
        <f>F81*G81</f>
        <v>0</v>
      </c>
    </row>
    <row r="82" spans="1:8">
      <c r="A82" s="1070" t="s">
        <v>531</v>
      </c>
      <c r="B82" s="1071" t="s">
        <v>490</v>
      </c>
      <c r="C82" s="1071">
        <f>التوصية!A253</f>
        <v>0</v>
      </c>
      <c r="D82" s="1071">
        <f>IF(التوصية!D2='بيانات للادخال'!T2,2,IF(التوصية!D2='بيانات للادخال'!T3,1,0))</f>
        <v>2</v>
      </c>
      <c r="E82" s="1071">
        <v>2</v>
      </c>
      <c r="F82" s="1073">
        <f t="shared" si="10"/>
        <v>1</v>
      </c>
      <c r="G82" s="1075">
        <f t="shared" ref="G82:G94" si="19">1/COUNT($E$82:$E$94)</f>
        <v>7.6923076923076927E-2</v>
      </c>
      <c r="H82" s="1074">
        <f t="shared" si="16"/>
        <v>7.6923076923076927E-2</v>
      </c>
    </row>
    <row r="83" spans="1:8">
      <c r="A83" s="1065"/>
      <c r="B83" s="1042" t="s">
        <v>1573</v>
      </c>
      <c r="C83" s="1042">
        <f>التوصية!B253</f>
        <v>10373</v>
      </c>
      <c r="D83" s="1042">
        <f>IF(C83&lt;=التوصية!D272,2,IF(C83&lt;=التوصية!D272*1.05,1,0))</f>
        <v>0</v>
      </c>
      <c r="E83" s="1042">
        <v>2</v>
      </c>
      <c r="F83" s="1043">
        <f t="shared" si="10"/>
        <v>0</v>
      </c>
      <c r="G83" s="1044">
        <f t="shared" si="19"/>
        <v>7.6923076923076927E-2</v>
      </c>
      <c r="H83" s="1064">
        <f t="shared" si="16"/>
        <v>0</v>
      </c>
    </row>
    <row r="84" spans="1:8">
      <c r="A84" s="1065"/>
      <c r="B84" s="1042" t="str">
        <f>"الدفعة الاولى ("&amp;C84/C83*100&amp;"%)"</f>
        <v>الدفعة الاولى (29.2133715444233%)</v>
      </c>
      <c r="C84" s="1042">
        <f>التوصية!C253</f>
        <v>3030.3030303030305</v>
      </c>
      <c r="D84" s="1042">
        <f>IF(C84/C83&gt;=0.5,4,IF(AND(C84/C83&gt;=0.4,C84/C83&lt;0.5),3,IF(AND(C84/C83&gt;=0.3,C84/C83&lt;0.4),2,IF(AND(C84/C83&lt;0.3,C84/C83&gt;=0.2),1,0))))</f>
        <v>1</v>
      </c>
      <c r="E84" s="1042">
        <v>4</v>
      </c>
      <c r="F84" s="1043">
        <f t="shared" si="10"/>
        <v>0.25</v>
      </c>
      <c r="G84" s="1044">
        <f t="shared" si="19"/>
        <v>7.6923076923076927E-2</v>
      </c>
      <c r="H84" s="1064">
        <f t="shared" si="16"/>
        <v>1.9230769230769232E-2</v>
      </c>
    </row>
    <row r="85" spans="1:8">
      <c r="A85" s="1065"/>
      <c r="B85" s="1042" t="s">
        <v>1574</v>
      </c>
      <c r="C85" s="1042">
        <f>التوصية!D253</f>
        <v>7342.69696969697</v>
      </c>
      <c r="D85" s="1042" t="e">
        <f>IF(C85/C18&lt;=10,2,IF(AND(C85/C18&gt;10,C85/C18&lt;=20),1,0))</f>
        <v>#DIV/0!</v>
      </c>
      <c r="E85" s="1042">
        <v>2</v>
      </c>
      <c r="F85" s="1043" t="e">
        <f t="shared" si="10"/>
        <v>#DIV/0!</v>
      </c>
      <c r="G85" s="1044">
        <f t="shared" si="19"/>
        <v>7.6923076923076927E-2</v>
      </c>
      <c r="H85" s="1064" t="e">
        <f t="shared" si="16"/>
        <v>#DIV/0!</v>
      </c>
    </row>
    <row r="86" spans="1:8">
      <c r="A86" s="1065"/>
      <c r="B86" s="1042" t="s">
        <v>1579</v>
      </c>
      <c r="C86" s="1042">
        <f>tenor</f>
        <v>48</v>
      </c>
      <c r="D86" s="1042">
        <f>IF(C86&lt;=36,2,IF(AND(C86&gt;36,C86&lt;=48),1,0))</f>
        <v>1</v>
      </c>
      <c r="E86" s="1042">
        <v>2</v>
      </c>
      <c r="F86" s="1043">
        <f t="shared" si="10"/>
        <v>0.5</v>
      </c>
      <c r="G86" s="1044">
        <f t="shared" si="19"/>
        <v>7.6923076923076927E-2</v>
      </c>
      <c r="H86" s="1064">
        <f t="shared" si="16"/>
        <v>3.8461538461538464E-2</v>
      </c>
    </row>
    <row r="87" spans="1:8">
      <c r="A87" s="1065"/>
      <c r="B87" s="1042" t="s">
        <v>1580</v>
      </c>
      <c r="C87" s="1042">
        <f>التوصية!D281</f>
        <v>0</v>
      </c>
      <c r="D87" s="1042">
        <f>IF(C87=0,1,0)</f>
        <v>1</v>
      </c>
      <c r="E87" s="1042">
        <v>1</v>
      </c>
      <c r="F87" s="1043">
        <f t="shared" ref="F87:F97" si="20">D87/E87</f>
        <v>1</v>
      </c>
      <c r="G87" s="1044">
        <f t="shared" si="19"/>
        <v>7.6923076923076927E-2</v>
      </c>
      <c r="H87" s="1064">
        <f t="shared" si="16"/>
        <v>7.6923076923076927E-2</v>
      </c>
    </row>
    <row r="88" spans="1:8">
      <c r="A88" s="1065"/>
      <c r="B88" s="1042" t="s">
        <v>1581</v>
      </c>
      <c r="C88" s="1042">
        <f>التوصية!D282</f>
        <v>0</v>
      </c>
      <c r="D88" s="1042">
        <f>IF(C88=0,1,0)</f>
        <v>1</v>
      </c>
      <c r="E88" s="1042">
        <v>1</v>
      </c>
      <c r="F88" s="1043">
        <f t="shared" si="20"/>
        <v>1</v>
      </c>
      <c r="G88" s="1044">
        <f t="shared" si="19"/>
        <v>7.6923076923076927E-2</v>
      </c>
      <c r="H88" s="1064">
        <f t="shared" si="16"/>
        <v>7.6923076923076927E-2</v>
      </c>
    </row>
    <row r="89" spans="1:8">
      <c r="A89" s="1065"/>
      <c r="B89" s="1042" t="s">
        <v>1582</v>
      </c>
      <c r="C89" s="1042">
        <f>التوصية!D283</f>
        <v>48</v>
      </c>
      <c r="D89" s="1042">
        <f>IF(C89&lt;=36,2,IF(AND(C89&gt;36,C89&lt;=48),1,0))</f>
        <v>1</v>
      </c>
      <c r="E89" s="1042">
        <v>2</v>
      </c>
      <c r="F89" s="1043">
        <f t="shared" si="20"/>
        <v>0.5</v>
      </c>
      <c r="G89" s="1044">
        <f t="shared" si="19"/>
        <v>7.6923076923076927E-2</v>
      </c>
      <c r="H89" s="1064">
        <f t="shared" si="16"/>
        <v>3.8461538461538464E-2</v>
      </c>
    </row>
    <row r="90" spans="1:8">
      <c r="A90" s="1065"/>
      <c r="B90" s="1042" t="s">
        <v>1587</v>
      </c>
      <c r="C90" s="1042">
        <f>التوصية!D284</f>
        <v>199.36258585858587</v>
      </c>
      <c r="D90" s="1042" t="e">
        <f>IF(C90/C18&lt;=0.3,2,IF(AND(C90/C18&gt;0.3,C90/C18&lt;=0.5),1,0))</f>
        <v>#DIV/0!</v>
      </c>
      <c r="E90" s="1042">
        <v>2</v>
      </c>
      <c r="F90" s="1043" t="e">
        <f t="shared" si="20"/>
        <v>#DIV/0!</v>
      </c>
      <c r="G90" s="1044">
        <f t="shared" si="19"/>
        <v>7.6923076923076927E-2</v>
      </c>
      <c r="H90" s="1064" t="e">
        <f t="shared" si="16"/>
        <v>#DIV/0!</v>
      </c>
    </row>
    <row r="91" spans="1:8">
      <c r="A91" s="1065"/>
      <c r="B91" s="1042" t="s">
        <v>1575</v>
      </c>
      <c r="C91" s="1047">
        <f>التوصية!B285</f>
        <v>7.0000000000000007E-2</v>
      </c>
      <c r="D91" s="1042">
        <f>IF(C91&gt;=0.07,1,0)</f>
        <v>1</v>
      </c>
      <c r="E91" s="1042">
        <v>1</v>
      </c>
      <c r="F91" s="1043">
        <f t="shared" si="20"/>
        <v>1</v>
      </c>
      <c r="G91" s="1044">
        <f t="shared" si="19"/>
        <v>7.6923076923076927E-2</v>
      </c>
      <c r="H91" s="1064">
        <f t="shared" si="16"/>
        <v>7.6923076923076927E-2</v>
      </c>
    </row>
    <row r="92" spans="1:8">
      <c r="A92" s="1065"/>
      <c r="B92" s="1042" t="s">
        <v>1576</v>
      </c>
      <c r="C92" s="1047">
        <f>التوصية!B286</f>
        <v>7.0000000000000007E-2</v>
      </c>
      <c r="D92" s="1042">
        <f>IF(C92&gt;=0.07,1,0)</f>
        <v>1</v>
      </c>
      <c r="E92" s="1042">
        <v>1</v>
      </c>
      <c r="F92" s="1043">
        <f t="shared" si="20"/>
        <v>1</v>
      </c>
      <c r="G92" s="1044">
        <f t="shared" si="19"/>
        <v>7.6923076923076927E-2</v>
      </c>
      <c r="H92" s="1064">
        <f t="shared" si="16"/>
        <v>7.6923076923076927E-2</v>
      </c>
    </row>
    <row r="93" spans="1:8">
      <c r="A93" s="1065"/>
      <c r="B93" s="1048" t="s">
        <v>1577</v>
      </c>
      <c r="C93" s="1047">
        <f>التوصية!D285</f>
        <v>0.12675394945206442</v>
      </c>
      <c r="D93" s="1042">
        <f>IF(C93&gt;=0.12,1,0)</f>
        <v>1</v>
      </c>
      <c r="E93" s="1042">
        <v>1</v>
      </c>
      <c r="F93" s="1043">
        <f t="shared" si="20"/>
        <v>1</v>
      </c>
      <c r="G93" s="1044">
        <f t="shared" si="19"/>
        <v>7.6923076923076927E-2</v>
      </c>
      <c r="H93" s="1064">
        <f t="shared" si="16"/>
        <v>7.6923076923076927E-2</v>
      </c>
    </row>
    <row r="94" spans="1:8">
      <c r="A94" s="1066"/>
      <c r="B94" s="1076" t="s">
        <v>1578</v>
      </c>
      <c r="C94" s="1077">
        <f>التوصية!D286</f>
        <v>0.12675394945206442</v>
      </c>
      <c r="D94" s="1067">
        <f>IF(C94&gt;=0.12,1,0)</f>
        <v>1</v>
      </c>
      <c r="E94" s="1067">
        <v>1</v>
      </c>
      <c r="F94" s="1068">
        <f t="shared" si="20"/>
        <v>1</v>
      </c>
      <c r="G94" s="1078">
        <f t="shared" si="19"/>
        <v>7.6923076923076927E-2</v>
      </c>
      <c r="H94" s="1069">
        <f t="shared" si="16"/>
        <v>7.6923076923076927E-2</v>
      </c>
    </row>
    <row r="95" spans="1:8">
      <c r="A95" s="1070" t="s">
        <v>159</v>
      </c>
      <c r="B95" s="1071" t="str">
        <f>التوصية!A408</f>
        <v>الضمانات</v>
      </c>
      <c r="C95" s="1071">
        <f>التوصية!B408</f>
        <v>0</v>
      </c>
      <c r="D95" s="1071">
        <f>IF(C95&lt;&gt;0,1,0)</f>
        <v>0</v>
      </c>
      <c r="E95" s="1071">
        <v>1</v>
      </c>
      <c r="F95" s="1073">
        <f t="shared" si="20"/>
        <v>0</v>
      </c>
      <c r="G95" s="1075">
        <f>1/COUNT($E$95:$E$97)</f>
        <v>0.33333333333333331</v>
      </c>
      <c r="H95" s="1074">
        <f t="shared" ref="H95:H97" si="21">F95*G95</f>
        <v>0</v>
      </c>
    </row>
    <row r="96" spans="1:8">
      <c r="A96" s="1065"/>
      <c r="B96" s="1042" t="str">
        <f>التوصية!A409</f>
        <v>قيمة الضمانات بالدولار</v>
      </c>
      <c r="C96" s="1050">
        <f>التوصية!B409</f>
        <v>0</v>
      </c>
      <c r="D96" s="1042">
        <f>IF(C96&lt;&gt;0,1,0)</f>
        <v>0</v>
      </c>
      <c r="E96" s="1042">
        <v>1</v>
      </c>
      <c r="F96" s="1043">
        <f t="shared" si="20"/>
        <v>0</v>
      </c>
      <c r="G96" s="1044">
        <f>1/COUNT($E$95:$E$97)</f>
        <v>0.33333333333333331</v>
      </c>
      <c r="H96" s="1064">
        <f t="shared" si="21"/>
        <v>0</v>
      </c>
    </row>
    <row r="97" spans="1:8">
      <c r="A97" s="1066"/>
      <c r="B97" s="1067" t="str">
        <f>التوصية!A410</f>
        <v>نسبة تغطية الضمانات للتمويل</v>
      </c>
      <c r="C97" s="1093">
        <f>التوصية!B410</f>
        <v>0</v>
      </c>
      <c r="D97" s="1067">
        <f>IF(C97&lt;0.25,0,IF(AND(C97&gt;=0.25,C97&lt;0.5),1,IF(AND(C97&gt;=0.5,C97&lt;0.75),2,IF(AND(C97&gt;=0.75,C97&lt;1),3,IF(AND(C97&gt;=1,C97&lt;1.25),4,IF(AND(C97&gt;=1.25,C97&lt;1.5),5,IF(AND(C97&gt;=1.5,C97&lt;2),6,IF(AND(C97&gt;=2,C97&lt;2.5),7,IF(AND(C97&gt;=2.5,C97&lt;3),8,IF(AND(C97&gt;=3,C97&lt;3.5),9,IF(C97&gt;=3.5,10)))))))))))</f>
        <v>0</v>
      </c>
      <c r="E97" s="1067">
        <v>4</v>
      </c>
      <c r="F97" s="1068">
        <f t="shared" si="20"/>
        <v>0</v>
      </c>
      <c r="G97" s="1078">
        <f>1/COUNT($E$95:$E$97)</f>
        <v>0.33333333333333331</v>
      </c>
      <c r="H97" s="1069">
        <f t="shared" si="21"/>
        <v>0</v>
      </c>
    </row>
    <row r="99" spans="1:8" s="648" customFormat="1" ht="15.75">
      <c r="A99" s="1356" t="s">
        <v>1611</v>
      </c>
      <c r="B99" s="1357"/>
      <c r="C99" s="1357"/>
      <c r="D99" s="1357"/>
      <c r="E99" s="1357"/>
      <c r="F99" s="1357"/>
      <c r="G99" s="1357"/>
      <c r="H99" s="1358"/>
    </row>
    <row r="100" spans="1:8" s="648" customFormat="1" hidden="1">
      <c r="A100" s="1065"/>
      <c r="B100" s="1042"/>
      <c r="C100" s="1042"/>
      <c r="D100" s="1042"/>
      <c r="E100" s="1042"/>
      <c r="F100" s="1042"/>
      <c r="G100" s="1042"/>
      <c r="H100" s="1080"/>
    </row>
    <row r="101" spans="1:8" s="648" customFormat="1">
      <c r="A101" s="1329" t="s">
        <v>385</v>
      </c>
      <c r="B101" s="1330"/>
      <c r="C101" s="1330"/>
      <c r="D101" s="1330"/>
      <c r="E101" s="1330"/>
      <c r="F101" s="1330"/>
      <c r="G101" s="1330"/>
      <c r="H101" s="1331"/>
    </row>
    <row r="102" spans="1:8" s="648" customFormat="1" ht="15.75">
      <c r="A102" s="1326" t="str">
        <f>IF(التوصية!$B$199='معاير الائتمان'!$B$3,"• "&amp;'معاير الائتمان'!$C$3,"")</f>
        <v/>
      </c>
      <c r="B102" s="1327"/>
      <c r="C102" s="1327"/>
      <c r="D102" s="1327"/>
      <c r="E102" s="1327"/>
      <c r="F102" s="1327"/>
      <c r="G102" s="1327"/>
      <c r="H102" s="1328"/>
    </row>
    <row r="103" spans="1:8" s="648" customFormat="1" ht="15.75">
      <c r="A103" s="1326" t="str">
        <f>IF(التوصية!$B$199='معاير الائتمان'!$B$4,"• "&amp;'معاير الائتمان'!$C$4,"")</f>
        <v/>
      </c>
      <c r="B103" s="1327"/>
      <c r="C103" s="1327"/>
      <c r="D103" s="1327"/>
      <c r="E103" s="1327"/>
      <c r="F103" s="1327"/>
      <c r="G103" s="1327"/>
      <c r="H103" s="1328"/>
    </row>
    <row r="104" spans="1:8" s="648" customFormat="1" ht="15.75">
      <c r="A104" s="1326" t="str">
        <f>IF(OR(التوصية!$B$234='بيانات للادخال'!$S$2,التوصية!$B$234='بيانات للادخال'!$S$3),"• "&amp;'معاير الائتمان'!$C$6,"")</f>
        <v/>
      </c>
      <c r="B104" s="1327"/>
      <c r="C104" s="1327"/>
      <c r="D104" s="1327"/>
      <c r="E104" s="1327"/>
      <c r="F104" s="1327"/>
      <c r="G104" s="1327"/>
      <c r="H104" s="1328"/>
    </row>
    <row r="105" spans="1:8" s="648" customFormat="1" ht="15.75">
      <c r="A105" s="1326" t="str">
        <f ca="1">IF(التوصية!$D$8&gt;='معاير الائتمان'!$B$5,"• "&amp;'معاير الائتمان'!$C$5,"")</f>
        <v>• تأمين على حياة الزبون حيث عمره 60 عام فاكثر</v>
      </c>
      <c r="B105" s="1327"/>
      <c r="C105" s="1327"/>
      <c r="D105" s="1327"/>
      <c r="E105" s="1327"/>
      <c r="F105" s="1327"/>
      <c r="G105" s="1327"/>
      <c r="H105" s="1328"/>
    </row>
    <row r="106" spans="1:8" s="648" customFormat="1" ht="15.75">
      <c r="A106" s="1326" t="str">
        <f>IF(التوصية!$D$14='بيانات للادخال'!$M$3,"• "&amp;'معاير الائتمان'!$C$7,"")</f>
        <v/>
      </c>
      <c r="B106" s="1327"/>
      <c r="C106" s="1327"/>
      <c r="D106" s="1327"/>
      <c r="E106" s="1327"/>
      <c r="F106" s="1327"/>
      <c r="G106" s="1327"/>
      <c r="H106" s="1328"/>
    </row>
    <row r="107" spans="1:8" s="648" customFormat="1" ht="15.75">
      <c r="A107" s="1326" t="str">
        <f>IF(التوصية!$D$198&gt;0,"• "&amp;'معاير الائتمان'!$C$8,"")</f>
        <v/>
      </c>
      <c r="B107" s="1327"/>
      <c r="C107" s="1327"/>
      <c r="D107" s="1327"/>
      <c r="E107" s="1327"/>
      <c r="F107" s="1327"/>
      <c r="G107" s="1327"/>
      <c r="H107" s="1328"/>
    </row>
    <row r="108" spans="1:8" s="648" customFormat="1" ht="15.75">
      <c r="A108" s="1326" t="str">
        <f>IFERROR(IF(التوصية!$D$291&gt;'معاير الائتمان'!$B$9,"• "&amp;'معاير الائتمان'!$C$9,""),"")</f>
        <v/>
      </c>
      <c r="B108" s="1327"/>
      <c r="C108" s="1327"/>
      <c r="D108" s="1327"/>
      <c r="E108" s="1327"/>
      <c r="F108" s="1327"/>
      <c r="G108" s="1327"/>
      <c r="H108" s="1328"/>
    </row>
    <row r="109" spans="1:8" s="648" customFormat="1" ht="15.75">
      <c r="A109" s="1326" t="str">
        <f>IF(التوصية!$B$13='بيانات للادخال'!$R$4,"• "&amp;'معاير الائتمان'!$C$10,"")</f>
        <v/>
      </c>
      <c r="B109" s="1327"/>
      <c r="C109" s="1327"/>
      <c r="D109" s="1327"/>
      <c r="E109" s="1327"/>
      <c r="F109" s="1327"/>
      <c r="G109" s="1327"/>
      <c r="H109" s="1328"/>
    </row>
    <row r="110" spans="1:8" s="648" customFormat="1" ht="15.75">
      <c r="A110" s="1326" t="str">
        <f>IF(التوصية!$B$199='معاير الائتمان'!$B$16,"• "&amp;'معاير الائتمان'!$C$16,"")</f>
        <v/>
      </c>
      <c r="B110" s="1327"/>
      <c r="C110" s="1327"/>
      <c r="D110" s="1327"/>
      <c r="E110" s="1327"/>
      <c r="F110" s="1327"/>
      <c r="G110" s="1327"/>
      <c r="H110" s="1328"/>
    </row>
    <row r="111" spans="1:8" s="648" customFormat="1" ht="15.75">
      <c r="A111" s="1326" t="str">
        <f>IF(التوصية!$D$23+التوصية!$D$29+التوصية!$D$35+التوصية!$D$41&gt;التوصية!$D$174*0.9,"• "&amp;'معاير الائتمان'!$B$17,"")</f>
        <v/>
      </c>
      <c r="B111" s="1327"/>
      <c r="C111" s="1327"/>
      <c r="D111" s="1327"/>
      <c r="E111" s="1327"/>
      <c r="F111" s="1327"/>
      <c r="G111" s="1327"/>
      <c r="H111" s="1328"/>
    </row>
    <row r="112" spans="1:8" s="648" customFormat="1" ht="15.75">
      <c r="A112" s="1326" t="str">
        <f>IFERROR(IF(AND(التوصية!$D$291&gt;'معاير الائتمان'!$B$19,التوصية!$D$291&lt;'معاير الائتمان'!$B$9),"• "&amp;'معاير الائتمان'!$C$19,""),"")</f>
        <v/>
      </c>
      <c r="B112" s="1327"/>
      <c r="C112" s="1327"/>
      <c r="D112" s="1327"/>
      <c r="E112" s="1327"/>
      <c r="F112" s="1327"/>
      <c r="G112" s="1327"/>
      <c r="H112" s="1328"/>
    </row>
    <row r="113" spans="1:8" s="648" customFormat="1" ht="15.75">
      <c r="A113" s="1326" t="str">
        <f ca="1">IF((TODAY()-التوصية!$D$21)/365&lt;1,"• "&amp;'معاير الائتمان'!$C$20,"")</f>
        <v/>
      </c>
      <c r="B113" s="1327"/>
      <c r="C113" s="1327"/>
      <c r="D113" s="1327"/>
      <c r="E113" s="1327"/>
      <c r="F113" s="1327"/>
      <c r="G113" s="1327"/>
      <c r="H113" s="1328"/>
    </row>
    <row r="114" spans="1:8" s="648" customFormat="1" ht="15.75">
      <c r="A114" s="1326" t="str">
        <f>IF(التوصية!$B$22='معاير الائتمان'!$B$21,"• "&amp;'معاير الائتمان'!$C$21,"")</f>
        <v/>
      </c>
      <c r="B114" s="1327"/>
      <c r="C114" s="1327"/>
      <c r="D114" s="1327"/>
      <c r="E114" s="1327"/>
      <c r="F114" s="1327"/>
      <c r="G114" s="1327"/>
      <c r="H114" s="1328"/>
    </row>
    <row r="115" spans="1:8" s="648" customFormat="1" ht="15.75">
      <c r="A115" s="1326" t="str">
        <f>IF(التوصية!$B$22='معاير الائتمان'!$B$22,"• "&amp;'معاير الائتمان'!$C$22,"")</f>
        <v/>
      </c>
      <c r="B115" s="1327"/>
      <c r="C115" s="1327"/>
      <c r="D115" s="1327"/>
      <c r="E115" s="1327"/>
      <c r="F115" s="1327"/>
      <c r="G115" s="1327"/>
      <c r="H115" s="1328"/>
    </row>
    <row r="116" spans="1:8" s="648" customFormat="1" ht="15.75">
      <c r="A116" s="1326" t="str">
        <f>IF(التوصية!$D$13='بيانات للادخال'!$M$2,"• "&amp;'معاير الائتمان'!$C$23,"")</f>
        <v/>
      </c>
      <c r="B116" s="1327"/>
      <c r="C116" s="1327"/>
      <c r="D116" s="1327"/>
      <c r="E116" s="1327"/>
      <c r="F116" s="1327"/>
      <c r="G116" s="1327"/>
      <c r="H116" s="1328"/>
    </row>
    <row r="117" spans="1:8" s="648" customFormat="1" ht="15.75">
      <c r="A117" s="1326" t="str">
        <f>IF(OR(التوصية!$B$9='بيانات للادخال'!$Q$3,التوصية!$B$9='بيانات للادخال'!$Q$4),"• "&amp;'معاير الائتمان'!$C$65,"")</f>
        <v/>
      </c>
      <c r="B117" s="1327"/>
      <c r="C117" s="1327"/>
      <c r="D117" s="1327"/>
      <c r="E117" s="1327"/>
      <c r="F117" s="1327"/>
      <c r="G117" s="1327"/>
      <c r="H117" s="1328"/>
    </row>
    <row r="118" spans="1:8" s="648" customFormat="1" ht="18.75" customHeight="1">
      <c r="A118" s="1326" t="str">
        <f>'معاير الائتمان'!$C$18</f>
        <v/>
      </c>
      <c r="B118" s="1327"/>
      <c r="C118" s="1327"/>
      <c r="D118" s="1327"/>
      <c r="E118" s="1327"/>
      <c r="F118" s="1327"/>
      <c r="G118" s="1327"/>
      <c r="H118" s="1328"/>
    </row>
    <row r="119" spans="1:8" s="648" customFormat="1" ht="15.75">
      <c r="A119" s="1332"/>
      <c r="B119" s="1333"/>
      <c r="C119" s="1333"/>
      <c r="D119" s="1333"/>
      <c r="E119" s="1333"/>
      <c r="F119" s="1333"/>
      <c r="G119" s="1333"/>
      <c r="H119" s="1334"/>
    </row>
    <row r="120" spans="1:8" s="648" customFormat="1">
      <c r="A120" s="1329" t="s">
        <v>386</v>
      </c>
      <c r="B120" s="1330"/>
      <c r="C120" s="1330"/>
      <c r="D120" s="1330"/>
      <c r="E120" s="1330"/>
      <c r="F120" s="1330"/>
      <c r="G120" s="1330"/>
      <c r="H120" s="1331"/>
    </row>
    <row r="121" spans="1:8" s="648" customFormat="1" ht="15.75">
      <c r="A121" s="1326" t="str">
        <f>IF(التوصية!$B$206='معاير الائتمان'!$B$24,"• "&amp;'معاير الائتمان'!$C$24,"")</f>
        <v/>
      </c>
      <c r="B121" s="1327"/>
      <c r="C121" s="1327"/>
      <c r="D121" s="1327"/>
      <c r="E121" s="1327"/>
      <c r="F121" s="1327"/>
      <c r="G121" s="1327"/>
      <c r="H121" s="1328"/>
    </row>
    <row r="122" spans="1:8" s="648" customFormat="1" ht="15.75">
      <c r="A122" s="1326" t="str">
        <f>IF(التوصية!$B$206='معاير الائتمان'!$B$25,"• "&amp;'معاير الائتمان'!$C$25,"")</f>
        <v/>
      </c>
      <c r="B122" s="1327"/>
      <c r="C122" s="1327"/>
      <c r="D122" s="1327"/>
      <c r="E122" s="1327"/>
      <c r="F122" s="1327"/>
      <c r="G122" s="1327"/>
      <c r="H122" s="1328"/>
    </row>
    <row r="123" spans="1:8" s="648" customFormat="1" ht="15.75">
      <c r="A123" s="1326" t="str">
        <f>IF(التوصية!$B$213='معاير الائتمان'!$B$26,"• "&amp;'معاير الائتمان'!$C$26,"")</f>
        <v/>
      </c>
      <c r="B123" s="1327"/>
      <c r="C123" s="1327"/>
      <c r="D123" s="1327"/>
      <c r="E123" s="1327"/>
      <c r="F123" s="1327"/>
      <c r="G123" s="1327"/>
      <c r="H123" s="1328"/>
    </row>
    <row r="124" spans="1:8" s="648" customFormat="1" ht="15.75">
      <c r="A124" s="1326" t="str">
        <f>IF(التوصية!$B$213='معاير الائتمان'!$B$27,"• "&amp;'معاير الائتمان'!$C$27,"")</f>
        <v/>
      </c>
      <c r="B124" s="1327"/>
      <c r="C124" s="1327"/>
      <c r="D124" s="1327"/>
      <c r="E124" s="1327"/>
      <c r="F124" s="1327"/>
      <c r="G124" s="1327"/>
      <c r="H124" s="1328"/>
    </row>
    <row r="125" spans="1:8" s="648" customFormat="1" ht="15.75">
      <c r="A125" s="1326" t="str">
        <f>IF(التوصية!$B$220='معاير الائتمان'!$B$28,"• "&amp;'معاير الائتمان'!$C$28,"")</f>
        <v/>
      </c>
      <c r="B125" s="1327"/>
      <c r="C125" s="1327"/>
      <c r="D125" s="1327"/>
      <c r="E125" s="1327"/>
      <c r="F125" s="1327"/>
      <c r="G125" s="1327"/>
      <c r="H125" s="1328"/>
    </row>
    <row r="126" spans="1:8" s="648" customFormat="1" ht="15.75">
      <c r="A126" s="1326" t="str">
        <f>IF(التوصية!$B$220='معاير الائتمان'!$B$29,"• "&amp;'معاير الائتمان'!$C$29,"")</f>
        <v/>
      </c>
      <c r="B126" s="1327"/>
      <c r="C126" s="1327"/>
      <c r="D126" s="1327"/>
      <c r="E126" s="1327"/>
      <c r="F126" s="1327"/>
      <c r="G126" s="1327"/>
      <c r="H126" s="1328"/>
    </row>
    <row r="127" spans="1:8" s="648" customFormat="1" ht="15.75">
      <c r="A127" s="1326" t="str">
        <f>IF(التوصية!$B$227='معاير الائتمان'!$B$30,"• "&amp;'معاير الائتمان'!$C$30,"")</f>
        <v/>
      </c>
      <c r="B127" s="1327"/>
      <c r="C127" s="1327"/>
      <c r="D127" s="1327"/>
      <c r="E127" s="1327"/>
      <c r="F127" s="1327"/>
      <c r="G127" s="1327"/>
      <c r="H127" s="1328"/>
    </row>
    <row r="128" spans="1:8" s="648" customFormat="1" ht="15.75">
      <c r="A128" s="1326" t="str">
        <f>IF(التوصية!$B$227='معاير الائتمان'!$B$31,"• "&amp;'معاير الائتمان'!$C$31,"")</f>
        <v/>
      </c>
      <c r="B128" s="1327"/>
      <c r="C128" s="1327"/>
      <c r="D128" s="1327"/>
      <c r="E128" s="1327"/>
      <c r="F128" s="1327"/>
      <c r="G128" s="1327"/>
      <c r="H128" s="1328"/>
    </row>
    <row r="129" spans="1:8" s="648" customFormat="1" ht="15.75">
      <c r="A129" s="1326" t="str">
        <f>IF(OR(التوصية!$B235='بيانات للادخال'!$S$2,التوصية!$B235='بيانات للادخال'!$S$3,التوصية!$B235='بيانات للادخال'!$S$4,التوصية!$B235='بيانات للادخال'!$S$5),'معاير الائتمان'!$C32,"")</f>
        <v/>
      </c>
      <c r="B129" s="1327"/>
      <c r="C129" s="1327"/>
      <c r="D129" s="1327"/>
      <c r="E129" s="1327"/>
      <c r="F129" s="1327"/>
      <c r="G129" s="1327"/>
      <c r="H129" s="1328"/>
    </row>
    <row r="130" spans="1:8" s="648" customFormat="1" ht="15.75">
      <c r="A130" s="1326" t="str">
        <f>IF(OR(التوصية!$B236='بيانات للادخال'!$S$2,التوصية!$B236='بيانات للادخال'!$S$3,التوصية!$B236='بيانات للادخال'!$S$4,التوصية!$B236='بيانات للادخال'!$S$5),'معاير الائتمان'!$C33,"")</f>
        <v/>
      </c>
      <c r="B130" s="1327"/>
      <c r="C130" s="1327"/>
      <c r="D130" s="1327"/>
      <c r="E130" s="1327"/>
      <c r="F130" s="1327"/>
      <c r="G130" s="1327"/>
      <c r="H130" s="1328"/>
    </row>
    <row r="131" spans="1:8" s="648" customFormat="1" ht="15.75">
      <c r="A131" s="1326" t="str">
        <f>IF(OR(التوصية!$B237='بيانات للادخال'!$S$2,التوصية!$B237='بيانات للادخال'!$S$3,التوصية!$B237='بيانات للادخال'!$S$4,التوصية!$B237='بيانات للادخال'!$S$5),'معاير الائتمان'!$C34,"")</f>
        <v/>
      </c>
      <c r="B131" s="1327"/>
      <c r="C131" s="1327"/>
      <c r="D131" s="1327"/>
      <c r="E131" s="1327"/>
      <c r="F131" s="1327"/>
      <c r="G131" s="1327"/>
      <c r="H131" s="1328"/>
    </row>
    <row r="132" spans="1:8" s="648" customFormat="1" ht="15.75">
      <c r="A132" s="1326" t="str">
        <f>IF(OR(التوصية!$B238='بيانات للادخال'!$S$2,التوصية!$B238='بيانات للادخال'!$S$3,التوصية!$B238='بيانات للادخال'!$S$4,التوصية!$B238='بيانات للادخال'!$S$5),'معاير الائتمان'!$C35,"")</f>
        <v/>
      </c>
      <c r="B132" s="1327"/>
      <c r="C132" s="1327"/>
      <c r="D132" s="1327"/>
      <c r="E132" s="1327"/>
      <c r="F132" s="1327"/>
      <c r="G132" s="1327"/>
      <c r="H132" s="1328"/>
    </row>
    <row r="133" spans="1:8" s="648" customFormat="1" ht="15.75">
      <c r="A133" s="1362" t="str">
        <f ca="1">'معاير الائتمان'!C36</f>
        <v xml:space="preserve">• استبدال الكفيل  (في حال عدم وجود كفيل غيره) حيث عمره 60 عام فاكثر </v>
      </c>
      <c r="B133" s="1363"/>
      <c r="C133" s="1363"/>
      <c r="D133" s="1363"/>
      <c r="E133" s="1363"/>
      <c r="F133" s="1363"/>
      <c r="G133" s="1363"/>
      <c r="H133" s="1364"/>
    </row>
    <row r="134" spans="1:8" s="648" customFormat="1" ht="15.75">
      <c r="A134" s="1362" t="str">
        <f ca="1">'معاير الائتمان'!C37</f>
        <v xml:space="preserve">• استبدال الكفيل  (في حال عدم وجود كفيل غيره) حيث عمره 60 عام فاكثر </v>
      </c>
      <c r="B134" s="1363"/>
      <c r="C134" s="1363"/>
      <c r="D134" s="1363"/>
      <c r="E134" s="1363"/>
      <c r="F134" s="1363"/>
      <c r="G134" s="1363"/>
      <c r="H134" s="1364"/>
    </row>
    <row r="135" spans="1:8" s="648" customFormat="1" ht="15.75">
      <c r="A135" s="1362" t="str">
        <f ca="1">'معاير الائتمان'!C38</f>
        <v xml:space="preserve">• استبدال الكفيل  (في حال عدم وجود كفيل غيره) حيث عمره 60 عام فاكثر </v>
      </c>
      <c r="B135" s="1363"/>
      <c r="C135" s="1363"/>
      <c r="D135" s="1363"/>
      <c r="E135" s="1363"/>
      <c r="F135" s="1363"/>
      <c r="G135" s="1363"/>
      <c r="H135" s="1364"/>
    </row>
    <row r="136" spans="1:8" s="648" customFormat="1" ht="15.75">
      <c r="A136" s="1362" t="str">
        <f ca="1">'معاير الائتمان'!C39</f>
        <v xml:space="preserve">• استبدال الكفيل  (في حال عدم وجود كفيل غيره) حيث عمره 60 عام فاكثر </v>
      </c>
      <c r="B136" s="1363"/>
      <c r="C136" s="1363"/>
      <c r="D136" s="1363"/>
      <c r="E136" s="1363"/>
      <c r="F136" s="1363"/>
      <c r="G136" s="1363"/>
      <c r="H136" s="1364"/>
    </row>
    <row r="137" spans="1:8" s="648" customFormat="1" ht="15.75">
      <c r="A137" s="1365"/>
      <c r="B137" s="1366"/>
      <c r="C137" s="1366"/>
      <c r="D137" s="1366"/>
      <c r="E137" s="1366"/>
      <c r="F137" s="1366"/>
      <c r="G137" s="1366"/>
      <c r="H137" s="1367"/>
    </row>
    <row r="138" spans="1:8" s="648" customFormat="1">
      <c r="A138" s="1329" t="s">
        <v>390</v>
      </c>
      <c r="B138" s="1330"/>
      <c r="C138" s="1330"/>
      <c r="D138" s="1330"/>
      <c r="E138" s="1330"/>
      <c r="F138" s="1330"/>
      <c r="G138" s="1330"/>
      <c r="H138" s="1331"/>
    </row>
    <row r="139" spans="1:8" s="648" customFormat="1" ht="15.75">
      <c r="A139" s="1326" t="str">
        <f>IF(التوصية!$B$246='معاير الائتمان'!$B$40,'معاير الائتمان'!C40,"")</f>
        <v/>
      </c>
      <c r="B139" s="1327"/>
      <c r="C139" s="1327"/>
      <c r="D139" s="1327"/>
      <c r="E139" s="1327"/>
      <c r="F139" s="1327"/>
      <c r="G139" s="1327"/>
      <c r="H139" s="1328"/>
    </row>
    <row r="140" spans="1:8" s="648" customFormat="1" ht="15.75">
      <c r="A140" s="1326" t="str">
        <f>IF(التوصية!$D$245='بيانات للادخال'!$M$2,"• يوجد اتفاقية إعادة الشراء من المورد","")</f>
        <v/>
      </c>
      <c r="B140" s="1327"/>
      <c r="C140" s="1327"/>
      <c r="D140" s="1327"/>
      <c r="E140" s="1327"/>
      <c r="F140" s="1327"/>
      <c r="G140" s="1327"/>
      <c r="H140" s="1328"/>
    </row>
    <row r="141" spans="1:8" s="648" customFormat="1" ht="15.75">
      <c r="A141" s="1332"/>
      <c r="B141" s="1333"/>
      <c r="C141" s="1333"/>
      <c r="D141" s="1333"/>
      <c r="E141" s="1333"/>
      <c r="F141" s="1333"/>
      <c r="G141" s="1333"/>
      <c r="H141" s="1334"/>
    </row>
    <row r="142" spans="1:8" s="648" customFormat="1">
      <c r="A142" s="1329" t="s">
        <v>186</v>
      </c>
      <c r="B142" s="1330"/>
      <c r="C142" s="1330"/>
      <c r="D142" s="1330"/>
      <c r="E142" s="1330"/>
      <c r="F142" s="1330"/>
      <c r="G142" s="1330"/>
      <c r="H142" s="1331"/>
    </row>
    <row r="143" spans="1:8" s="648" customFormat="1" ht="15.75">
      <c r="A143" s="1326" t="str">
        <f>IF(OR(التوصية!$B$244='بيانات للادخال'!$AF$3,التوصية!$B$244='بيانات للادخال'!$AF$4,التوصية!$B$244='بيانات للادخال'!$AF$5,التوصية!$B$244='بيانات للادخال'!$AF$6,التوصية!$B$244='بيانات للادخال'!$AF$7,التوصية!$B$244='بيانات للادخال'!$AF$8,التوصية!$B$244='بيانات للادخال'!$AF$10,التوصية!$B$244='بيانات للادخال'!$AF$11,التوصية!$B$244='بيانات للادخال'!$AF$12),"• "&amp;'معاير الائتمان'!$C$11,"")</f>
        <v/>
      </c>
      <c r="B143" s="1327"/>
      <c r="C143" s="1327"/>
      <c r="D143" s="1327"/>
      <c r="E143" s="1327"/>
      <c r="F143" s="1327"/>
      <c r="G143" s="1327"/>
      <c r="H143" s="1328"/>
    </row>
    <row r="144" spans="1:8" s="648" customFormat="1" ht="15.75">
      <c r="A144" s="1326" t="str">
        <f>IF(التوصية!$D$244='بيانات للادخال'!$J$14,"• "&amp;'معاير الائتمان'!$C$12,"")</f>
        <v/>
      </c>
      <c r="B144" s="1327"/>
      <c r="C144" s="1327"/>
      <c r="D144" s="1327"/>
      <c r="E144" s="1327"/>
      <c r="F144" s="1327"/>
      <c r="G144" s="1327"/>
      <c r="H144" s="1328"/>
    </row>
    <row r="145" spans="1:8" s="648" customFormat="1" ht="15.75">
      <c r="A145" s="1326" t="str">
        <f>IF(التوصية!$B$253&gt;'معاير الائتمان'!$B$45,"• "&amp;'معاير الائتمان'!$C$45,"")</f>
        <v>• رفع الدفعة الأولى للاصل (0) الى 129% كون قيمة عرض السعر  اعلى بنسبة 100% من متوسط القيمة السوقية</v>
      </c>
      <c r="B145" s="1327"/>
      <c r="C145" s="1327"/>
      <c r="D145" s="1327"/>
      <c r="E145" s="1327"/>
      <c r="F145" s="1327"/>
      <c r="G145" s="1327"/>
      <c r="H145" s="1328"/>
    </row>
    <row r="146" spans="1:8" s="648" customFormat="1" ht="15.75">
      <c r="A146" s="1326" t="str">
        <f>IF(التوصية!$B$254&gt;'معاير الائتمان'!$B$46,"• "&amp;'معاير الائتمان'!$C$46,"")</f>
        <v/>
      </c>
      <c r="B146" s="1327"/>
      <c r="C146" s="1327"/>
      <c r="D146" s="1327"/>
      <c r="E146" s="1327"/>
      <c r="F146" s="1327"/>
      <c r="G146" s="1327"/>
      <c r="H146" s="1328"/>
    </row>
    <row r="147" spans="1:8" s="648" customFormat="1" ht="15.75">
      <c r="A147" s="1326" t="str">
        <f>IF(التوصية!$B$255&gt;'معاير الائتمان'!$B$47,"• "&amp;'معاير الائتمان'!$C$47,"")</f>
        <v/>
      </c>
      <c r="B147" s="1327"/>
      <c r="C147" s="1327"/>
      <c r="D147" s="1327"/>
      <c r="E147" s="1327"/>
      <c r="F147" s="1327"/>
      <c r="G147" s="1327"/>
      <c r="H147" s="1328"/>
    </row>
    <row r="148" spans="1:8" s="648" customFormat="1" ht="15.75">
      <c r="A148" s="1326" t="str">
        <f>IF(التوصية!$B$256&gt;'معاير الائتمان'!$B$48,"• "&amp;'معاير الائتمان'!$C$48,"")</f>
        <v/>
      </c>
      <c r="B148" s="1327"/>
      <c r="C148" s="1327"/>
      <c r="D148" s="1327"/>
      <c r="E148" s="1327"/>
      <c r="F148" s="1327"/>
      <c r="G148" s="1327"/>
      <c r="H148" s="1328"/>
    </row>
    <row r="149" spans="1:8" s="648" customFormat="1" ht="15.75">
      <c r="A149" s="1326" t="str">
        <f>IF(التوصية!$B$257&gt;'معاير الائتمان'!$B$49,"• "&amp;'معاير الائتمان'!$C$49,"")</f>
        <v/>
      </c>
      <c r="B149" s="1327"/>
      <c r="C149" s="1327"/>
      <c r="D149" s="1327"/>
      <c r="E149" s="1327"/>
      <c r="F149" s="1327"/>
      <c r="G149" s="1327"/>
      <c r="H149" s="1328"/>
    </row>
    <row r="150" spans="1:8" s="648" customFormat="1" ht="15.75">
      <c r="A150" s="1332"/>
      <c r="B150" s="1333"/>
      <c r="C150" s="1333"/>
      <c r="D150" s="1333"/>
      <c r="E150" s="1333"/>
      <c r="F150" s="1333"/>
      <c r="G150" s="1333"/>
      <c r="H150" s="1334"/>
    </row>
    <row r="151" spans="1:8" s="648" customFormat="1">
      <c r="A151" s="1329" t="s">
        <v>388</v>
      </c>
      <c r="B151" s="1330"/>
      <c r="C151" s="1330"/>
      <c r="D151" s="1330"/>
      <c r="E151" s="1330"/>
      <c r="F151" s="1330"/>
      <c r="G151" s="1330"/>
      <c r="H151" s="1331"/>
    </row>
    <row r="152" spans="1:8" s="648" customFormat="1" ht="15.75">
      <c r="A152" s="1326" t="str">
        <f>IF(التوصية!$D$244='معاير الائتمان'!$A$53," • "&amp;'معاير الائتمان'!$C$53,"")</f>
        <v/>
      </c>
      <c r="B152" s="1327"/>
      <c r="C152" s="1327"/>
      <c r="D152" s="1327"/>
      <c r="E152" s="1327"/>
      <c r="F152" s="1327"/>
      <c r="G152" s="1327"/>
      <c r="H152" s="1328"/>
    </row>
    <row r="153" spans="1:8" s="648" customFormat="1" ht="15.75">
      <c r="A153" s="1326" t="str">
        <f>IF(التوصية!$B$280&lt;'معاير الائتمان'!$B$62,""&amp;'معاير الائتمان'!$C$62,"")</f>
        <v xml:space="preserve"> • مبلغ التمويل 7,343 دولار (دون 10 الاف دولار) وبالتالي رفع نسبة الربح الى 10%</v>
      </c>
      <c r="B153" s="1327"/>
      <c r="C153" s="1327"/>
      <c r="D153" s="1327"/>
      <c r="E153" s="1327"/>
      <c r="F153" s="1327"/>
      <c r="G153" s="1327"/>
      <c r="H153" s="1328"/>
    </row>
    <row r="154" spans="1:8" s="648" customFormat="1" ht="15.75">
      <c r="A154" s="1326" t="str">
        <f>IF(AND(التوصية!$B$280&lt;'معاير الائتمان'!$B$63,التوصية!$B$280&gt;'معاير الائتمان'!$B$62),""&amp;'معاير الائتمان'!$C$63,"")</f>
        <v/>
      </c>
      <c r="B154" s="1327"/>
      <c r="C154" s="1327"/>
      <c r="D154" s="1327"/>
      <c r="E154" s="1327"/>
      <c r="F154" s="1327"/>
      <c r="G154" s="1327"/>
      <c r="H154" s="1328"/>
    </row>
    <row r="155" spans="1:8" s="648" customFormat="1" ht="15.75">
      <c r="A155" s="1326" t="str">
        <f>IF(AND(التوصية!$B$280&gt;'معاير الائتمان'!$B$63,التوصية!$B$280&lt;'معاير الائتمان'!$B$64),""&amp;'معاير الائتمان'!$C$64,"")</f>
        <v/>
      </c>
      <c r="B155" s="1327"/>
      <c r="C155" s="1327"/>
      <c r="D155" s="1327"/>
      <c r="E155" s="1327"/>
      <c r="F155" s="1327"/>
      <c r="G155" s="1327"/>
      <c r="H155" s="1328"/>
    </row>
    <row r="156" spans="1:8" s="648" customFormat="1" ht="15.75">
      <c r="A156" s="1326" t="str">
        <f>IF(AND(التوصية!$D$244='معاير الائتمان'!$A$55,التوصية!$D$280&gt;'معاير الائتمان'!$B$55),""&amp;'معاير الائتمان'!$C$55,"")</f>
        <v/>
      </c>
      <c r="B156" s="1327"/>
      <c r="C156" s="1327"/>
      <c r="D156" s="1327"/>
      <c r="E156" s="1327"/>
      <c r="F156" s="1327"/>
      <c r="G156" s="1327"/>
      <c r="H156" s="1328"/>
    </row>
    <row r="157" spans="1:8" s="648" customFormat="1" ht="15.75">
      <c r="A157" s="1326" t="str">
        <f>IF(AND(التوصية!$D$244='معاير الائتمان'!$A$56,التوصية!$D$280&gt;'معاير الائتمان'!$B$56),""&amp;'معاير الائتمان'!$C$56,"")</f>
        <v/>
      </c>
      <c r="B157" s="1327"/>
      <c r="C157" s="1327"/>
      <c r="D157" s="1327"/>
      <c r="E157" s="1327"/>
      <c r="F157" s="1327"/>
      <c r="G157" s="1327"/>
      <c r="H157" s="1328"/>
    </row>
    <row r="158" spans="1:8" s="648" customFormat="1" ht="15.75">
      <c r="A158" s="1326" t="str">
        <f>IF(AND(التوصية!$D$244='معاير الائتمان'!$A$54,التوصية!$D$280&gt;'معاير الائتمان'!$B$54),""&amp;'معاير الائتمان'!$C$54,"")</f>
        <v/>
      </c>
      <c r="B158" s="1327"/>
      <c r="C158" s="1327"/>
      <c r="D158" s="1327"/>
      <c r="E158" s="1327"/>
      <c r="F158" s="1327"/>
      <c r="G158" s="1327"/>
      <c r="H158" s="1328"/>
    </row>
    <row r="159" spans="1:8" s="648" customFormat="1" ht="15.75">
      <c r="A159" s="1326" t="str">
        <f>IF(AND(التوصية!$D$244='معاير الائتمان'!$A$58,التوصية!$D$280&gt;'معاير الائتمان'!$B$58),""&amp;'معاير الائتمان'!$C$58,"")</f>
        <v/>
      </c>
      <c r="B159" s="1327"/>
      <c r="C159" s="1327"/>
      <c r="D159" s="1327"/>
      <c r="E159" s="1327"/>
      <c r="F159" s="1327"/>
      <c r="G159" s="1327"/>
      <c r="H159" s="1328"/>
    </row>
    <row r="160" spans="1:8" s="648" customFormat="1" ht="15.75">
      <c r="A160" s="1326" t="str">
        <f>IF(AND(التوصية!$D$244='معاير الائتمان'!$A$59,التوصية!$D$280&gt;'معاير الائتمان'!$B$59),""&amp;'معاير الائتمان'!$C$59,"")</f>
        <v/>
      </c>
      <c r="B160" s="1327"/>
      <c r="C160" s="1327"/>
      <c r="D160" s="1327"/>
      <c r="E160" s="1327"/>
      <c r="F160" s="1327"/>
      <c r="G160" s="1327"/>
      <c r="H160" s="1328"/>
    </row>
    <row r="161" spans="1:8" s="648" customFormat="1" ht="15.75">
      <c r="A161" s="1326" t="str">
        <f>IF(AND(التوصية!$D$244='معاير الائتمان'!$A$57,التوصية!$D$280&gt;'معاير الائتمان'!$B$57),""&amp;'معاير الائتمان'!$C$57,"")</f>
        <v/>
      </c>
      <c r="B161" s="1327"/>
      <c r="C161" s="1327"/>
      <c r="D161" s="1327"/>
      <c r="E161" s="1327"/>
      <c r="F161" s="1327"/>
      <c r="G161" s="1327"/>
      <c r="H161" s="1328"/>
    </row>
    <row r="162" spans="1:8" s="648" customFormat="1" ht="15.75">
      <c r="A162" s="1326" t="str">
        <f>IF(AND(التوصية!$D$244='معاير الائتمان'!$A$60,التوصية!$D$280&gt;'معاير الائتمان'!$B$60),""&amp;'معاير الائتمان'!$C$60,"")</f>
        <v/>
      </c>
      <c r="B162" s="1327"/>
      <c r="C162" s="1327"/>
      <c r="D162" s="1327"/>
      <c r="E162" s="1327"/>
      <c r="F162" s="1327"/>
      <c r="G162" s="1327"/>
      <c r="H162" s="1328"/>
    </row>
    <row r="163" spans="1:8" s="648" customFormat="1" ht="15.75" customHeight="1">
      <c r="A163" s="1326" t="str">
        <f>IF(AND(التوصية!$D$244='معاير الائتمان'!$A$61,التوصية!$D$280&gt;'معاير الائتمان'!$B$61),""&amp;'معاير الائتمان'!$C$61,"")</f>
        <v/>
      </c>
      <c r="B163" s="1327"/>
      <c r="C163" s="1327"/>
      <c r="D163" s="1327"/>
      <c r="E163" s="1327"/>
      <c r="F163" s="1327"/>
      <c r="G163" s="1327"/>
      <c r="H163" s="1328"/>
    </row>
    <row r="164" spans="1:8" s="648" customFormat="1" ht="15.75">
      <c r="A164" s="1326" t="str">
        <f>'معاير الائتمان'!$C$52</f>
        <v/>
      </c>
      <c r="B164" s="1327"/>
      <c r="C164" s="1327"/>
      <c r="D164" s="1327"/>
      <c r="E164" s="1327"/>
      <c r="F164" s="1327"/>
      <c r="G164" s="1327"/>
      <c r="H164" s="1328"/>
    </row>
    <row r="165" spans="1:8" ht="15.75">
      <c r="A165" s="1338"/>
      <c r="B165" s="1339"/>
      <c r="C165" s="1339"/>
      <c r="D165" s="1339"/>
      <c r="E165" s="1339"/>
      <c r="F165" s="1339"/>
      <c r="G165" s="1339"/>
      <c r="H165" s="1340"/>
    </row>
    <row r="166" spans="1:8">
      <c r="A166" s="1081"/>
      <c r="B166" s="1082"/>
      <c r="C166" s="1082"/>
      <c r="D166" s="1082"/>
      <c r="E166" s="1048"/>
      <c r="F166" s="1048"/>
      <c r="G166" s="1048"/>
      <c r="H166" s="1079"/>
    </row>
    <row r="167" spans="1:8">
      <c r="A167" s="1350" t="s">
        <v>1583</v>
      </c>
      <c r="B167" s="1351"/>
      <c r="C167" s="1351"/>
      <c r="D167" s="1351"/>
      <c r="E167" s="1351"/>
      <c r="F167" s="1351"/>
      <c r="G167" s="1351"/>
      <c r="H167" s="1352"/>
    </row>
    <row r="168" spans="1:8">
      <c r="A168" s="1353" t="s">
        <v>1600</v>
      </c>
      <c r="B168" s="1354"/>
      <c r="C168" s="1354"/>
      <c r="D168" s="1354"/>
      <c r="E168" s="1354"/>
      <c r="F168" s="1354"/>
      <c r="G168" s="1354"/>
      <c r="H168" s="1355"/>
    </row>
    <row r="169" spans="1:8">
      <c r="A169" s="1344" t="s">
        <v>1602</v>
      </c>
      <c r="B169" s="1345"/>
      <c r="C169" s="1345"/>
      <c r="D169" s="1345"/>
      <c r="E169" s="1345"/>
      <c r="F169" s="1345"/>
      <c r="G169" s="1345"/>
      <c r="H169" s="1346"/>
    </row>
    <row r="170" spans="1:8">
      <c r="A170" s="1344" t="s">
        <v>1601</v>
      </c>
      <c r="B170" s="1345"/>
      <c r="C170" s="1345"/>
      <c r="D170" s="1345"/>
      <c r="E170" s="1345"/>
      <c r="F170" s="1345"/>
      <c r="G170" s="1345"/>
      <c r="H170" s="1346"/>
    </row>
    <row r="171" spans="1:8">
      <c r="A171" s="1344" t="s">
        <v>1603</v>
      </c>
      <c r="B171" s="1345"/>
      <c r="C171" s="1345"/>
      <c r="D171" s="1345"/>
      <c r="E171" s="1345"/>
      <c r="F171" s="1345"/>
      <c r="G171" s="1345"/>
      <c r="H171" s="1346"/>
    </row>
    <row r="172" spans="1:8">
      <c r="A172" s="1344" t="s">
        <v>1604</v>
      </c>
      <c r="B172" s="1345"/>
      <c r="C172" s="1345"/>
      <c r="D172" s="1345"/>
      <c r="E172" s="1345"/>
      <c r="F172" s="1345"/>
      <c r="G172" s="1345"/>
      <c r="H172" s="1346"/>
    </row>
    <row r="173" spans="1:8">
      <c r="A173" s="1344" t="s">
        <v>1605</v>
      </c>
      <c r="B173" s="1345"/>
      <c r="C173" s="1345"/>
      <c r="D173" s="1345"/>
      <c r="E173" s="1345"/>
      <c r="F173" s="1345"/>
      <c r="G173" s="1345"/>
      <c r="H173" s="1346"/>
    </row>
    <row r="174" spans="1:8">
      <c r="A174" s="1344" t="s">
        <v>1606</v>
      </c>
      <c r="B174" s="1345"/>
      <c r="C174" s="1345"/>
      <c r="D174" s="1345"/>
      <c r="E174" s="1345"/>
      <c r="F174" s="1345"/>
      <c r="G174" s="1345"/>
      <c r="H174" s="1346"/>
    </row>
    <row r="175" spans="1:8">
      <c r="A175" s="1344" t="s">
        <v>1607</v>
      </c>
      <c r="B175" s="1345"/>
      <c r="C175" s="1345"/>
      <c r="D175" s="1345"/>
      <c r="E175" s="1345"/>
      <c r="F175" s="1345"/>
      <c r="G175" s="1345"/>
      <c r="H175" s="1346"/>
    </row>
    <row r="176" spans="1:8">
      <c r="A176" s="1344" t="s">
        <v>1608</v>
      </c>
      <c r="B176" s="1345"/>
      <c r="C176" s="1345"/>
      <c r="D176" s="1345"/>
      <c r="E176" s="1345"/>
      <c r="F176" s="1345"/>
      <c r="G176" s="1345"/>
      <c r="H176" s="1346"/>
    </row>
    <row r="177" spans="1:8" s="648" customFormat="1">
      <c r="A177" s="1344" t="s">
        <v>1609</v>
      </c>
      <c r="B177" s="1345"/>
      <c r="C177" s="1345"/>
      <c r="D177" s="1345"/>
      <c r="E177" s="1345"/>
      <c r="F177" s="1345"/>
      <c r="G177" s="1345"/>
      <c r="H177" s="1346"/>
    </row>
    <row r="178" spans="1:8" s="648" customFormat="1" ht="15.75" customHeight="1">
      <c r="A178" s="1347" t="s">
        <v>1610</v>
      </c>
      <c r="B178" s="1348"/>
      <c r="C178" s="1348"/>
      <c r="D178" s="1348"/>
      <c r="E178" s="1348"/>
      <c r="F178" s="1348"/>
      <c r="G178" s="1348"/>
      <c r="H178" s="1349"/>
    </row>
    <row r="179" spans="1:8" s="648" customFormat="1">
      <c r="A179" s="1081"/>
      <c r="B179" s="1082"/>
      <c r="C179" s="1082"/>
      <c r="D179" s="1082"/>
      <c r="E179" s="1048"/>
      <c r="F179" s="1048"/>
      <c r="G179" s="1048"/>
      <c r="H179" s="1079"/>
    </row>
    <row r="180" spans="1:8" s="648" customFormat="1" ht="15.75">
      <c r="A180" s="1359" t="str">
        <f>"قرار لجنة ائتمان شركة الاجارة الفلسطينية على التمويل المطلوب للزبون "&amp;التوصية!D6</f>
        <v>قرار لجنة ائتمان شركة الاجارة الفلسطينية على التمويل المطلوب للزبون 0</v>
      </c>
      <c r="B180" s="1360"/>
      <c r="C180" s="1360"/>
      <c r="D180" s="1360"/>
      <c r="E180" s="1360"/>
      <c r="F180" s="1360"/>
      <c r="G180" s="1360"/>
      <c r="H180" s="1361"/>
    </row>
    <row r="181" spans="1:8" s="648" customFormat="1" ht="75" customHeight="1">
      <c r="A181" s="1341" t="s">
        <v>1612</v>
      </c>
      <c r="B181" s="1342"/>
      <c r="C181" s="1342"/>
      <c r="D181" s="1342"/>
      <c r="E181" s="1342"/>
      <c r="F181" s="1342"/>
      <c r="G181" s="1342"/>
      <c r="H181" s="1343"/>
    </row>
    <row r="182" spans="1:8" s="648" customFormat="1" ht="75" customHeight="1">
      <c r="A182" s="1335" t="s">
        <v>256</v>
      </c>
      <c r="B182" s="1336"/>
      <c r="C182" s="1336"/>
      <c r="D182" s="1336"/>
      <c r="E182" s="1336"/>
      <c r="F182" s="1336"/>
      <c r="G182" s="1336"/>
      <c r="H182" s="1337"/>
    </row>
    <row r="183" spans="1:8" s="648" customFormat="1" ht="75" customHeight="1">
      <c r="A183" s="1341" t="s">
        <v>1547</v>
      </c>
      <c r="B183" s="1342"/>
      <c r="C183" s="1342"/>
      <c r="D183" s="1342"/>
      <c r="E183" s="1342"/>
      <c r="F183" s="1342"/>
      <c r="G183" s="1342"/>
      <c r="H183" s="1343"/>
    </row>
    <row r="184" spans="1:8" s="648" customFormat="1" ht="75" customHeight="1">
      <c r="A184" s="1335" t="s">
        <v>256</v>
      </c>
      <c r="B184" s="1336"/>
      <c r="C184" s="1336"/>
      <c r="D184" s="1336"/>
      <c r="E184" s="1336"/>
      <c r="F184" s="1336"/>
      <c r="G184" s="1336"/>
      <c r="H184" s="1337"/>
    </row>
    <row r="185" spans="1:8" s="648" customFormat="1" ht="75" customHeight="1">
      <c r="A185" s="1341" t="s">
        <v>257</v>
      </c>
      <c r="B185" s="1342"/>
      <c r="C185" s="1342"/>
      <c r="D185" s="1342"/>
      <c r="E185" s="1342"/>
      <c r="F185" s="1342"/>
      <c r="G185" s="1342"/>
      <c r="H185" s="1343"/>
    </row>
    <row r="186" spans="1:8" s="648" customFormat="1" ht="75" customHeight="1">
      <c r="A186" s="1335" t="s">
        <v>256</v>
      </c>
      <c r="B186" s="1336"/>
      <c r="C186" s="1336"/>
      <c r="D186" s="1336"/>
      <c r="E186" s="1336"/>
      <c r="F186" s="1336"/>
      <c r="G186" s="1336"/>
      <c r="H186" s="1337"/>
    </row>
    <row r="187" spans="1:8" s="648" customFormat="1" ht="75" customHeight="1">
      <c r="A187" s="1341" t="s">
        <v>307</v>
      </c>
      <c r="B187" s="1342"/>
      <c r="C187" s="1342"/>
      <c r="D187" s="1342"/>
      <c r="E187" s="1342"/>
      <c r="F187" s="1342"/>
      <c r="G187" s="1342"/>
      <c r="H187" s="1343"/>
    </row>
    <row r="188" spans="1:8" s="648" customFormat="1" ht="75" customHeight="1">
      <c r="A188" s="1335" t="s">
        <v>256</v>
      </c>
      <c r="B188" s="1336"/>
      <c r="C188" s="1336"/>
      <c r="D188" s="1336"/>
      <c r="E188" s="1336"/>
      <c r="F188" s="1336"/>
      <c r="G188" s="1336"/>
      <c r="H188" s="1337"/>
    </row>
  </sheetData>
  <mergeCells count="92">
    <mergeCell ref="A70:A74"/>
    <mergeCell ref="A31:A35"/>
    <mergeCell ref="A44:A48"/>
    <mergeCell ref="A57:A61"/>
    <mergeCell ref="A9:H9"/>
    <mergeCell ref="A174:H174"/>
    <mergeCell ref="A175:H175"/>
    <mergeCell ref="A176:H176"/>
    <mergeCell ref="A149:H149"/>
    <mergeCell ref="A148:H148"/>
    <mergeCell ref="A170:H170"/>
    <mergeCell ref="A171:H171"/>
    <mergeCell ref="A172:H172"/>
    <mergeCell ref="A173:H173"/>
    <mergeCell ref="A164:H164"/>
    <mergeCell ref="A147:H147"/>
    <mergeCell ref="A130:H130"/>
    <mergeCell ref="A145:H145"/>
    <mergeCell ref="A144:H144"/>
    <mergeCell ref="A143:H143"/>
    <mergeCell ref="A140:H140"/>
    <mergeCell ref="A139:H139"/>
    <mergeCell ref="A136:H136"/>
    <mergeCell ref="A135:H135"/>
    <mergeCell ref="A134:H134"/>
    <mergeCell ref="A133:H133"/>
    <mergeCell ref="A132:H132"/>
    <mergeCell ref="A131:H131"/>
    <mergeCell ref="A137:H137"/>
    <mergeCell ref="A99:H99"/>
    <mergeCell ref="A101:H101"/>
    <mergeCell ref="A180:H180"/>
    <mergeCell ref="A181:H181"/>
    <mergeCell ref="A159:H159"/>
    <mergeCell ref="A158:H158"/>
    <mergeCell ref="A157:H157"/>
    <mergeCell ref="A156:H156"/>
    <mergeCell ref="A155:H155"/>
    <mergeCell ref="A154:H154"/>
    <mergeCell ref="A153:H153"/>
    <mergeCell ref="A111:H111"/>
    <mergeCell ref="A146:H146"/>
    <mergeCell ref="A160:H160"/>
    <mergeCell ref="A152:H152"/>
    <mergeCell ref="A151:H151"/>
    <mergeCell ref="A188:H188"/>
    <mergeCell ref="A165:H165"/>
    <mergeCell ref="A163:H163"/>
    <mergeCell ref="A162:H162"/>
    <mergeCell ref="A161:H161"/>
    <mergeCell ref="A182:H182"/>
    <mergeCell ref="A183:H183"/>
    <mergeCell ref="A184:H184"/>
    <mergeCell ref="A185:H185"/>
    <mergeCell ref="A186:H186"/>
    <mergeCell ref="A187:H187"/>
    <mergeCell ref="A177:H177"/>
    <mergeCell ref="A178:H178"/>
    <mergeCell ref="A167:H167"/>
    <mergeCell ref="A168:H168"/>
    <mergeCell ref="A169:H169"/>
    <mergeCell ref="A108:H108"/>
    <mergeCell ref="A107:H107"/>
    <mergeCell ref="A116:H116"/>
    <mergeCell ref="A115:H115"/>
    <mergeCell ref="A114:H114"/>
    <mergeCell ref="A112:H112"/>
    <mergeCell ref="A110:H110"/>
    <mergeCell ref="A109:H109"/>
    <mergeCell ref="A113:H113"/>
    <mergeCell ref="A123:H123"/>
    <mergeCell ref="A122:H122"/>
    <mergeCell ref="A121:H121"/>
    <mergeCell ref="A120:H120"/>
    <mergeCell ref="A118:H118"/>
    <mergeCell ref="A119:H119"/>
    <mergeCell ref="A102:H102"/>
    <mergeCell ref="A138:H138"/>
    <mergeCell ref="A142:H142"/>
    <mergeCell ref="A141:H141"/>
    <mergeCell ref="A150:H150"/>
    <mergeCell ref="A106:H106"/>
    <mergeCell ref="A105:H105"/>
    <mergeCell ref="A104:H104"/>
    <mergeCell ref="A103:H103"/>
    <mergeCell ref="A117:H117"/>
    <mergeCell ref="A129:H129"/>
    <mergeCell ref="A128:H128"/>
    <mergeCell ref="A127:H127"/>
    <mergeCell ref="A126:H126"/>
    <mergeCell ref="A124:H124"/>
    <mergeCell ref="A125:H125"/>
  </mergeCells>
  <conditionalFormatting sqref="H1">
    <cfRule type="cellIs" dxfId="139" priority="48" operator="lessThan">
      <formula>0.7</formula>
    </cfRule>
    <cfRule type="expression" dxfId="138" priority="49">
      <formula>AND($H$1&lt;0.9,$H$1&gt;=0.7)</formula>
    </cfRule>
    <cfRule type="expression" dxfId="137" priority="51">
      <formula>OR(H1=0.9,H1&gt;0.9)</formula>
    </cfRule>
  </conditionalFormatting>
  <conditionalFormatting sqref="C96">
    <cfRule type="expression" dxfId="136" priority="41">
      <formula>FC=EUR</formula>
    </cfRule>
    <cfRule type="expression" dxfId="135" priority="42">
      <formula>FC=ILS</formula>
    </cfRule>
    <cfRule type="expression" dxfId="134" priority="43">
      <formula>FC=USD</formula>
    </cfRule>
  </conditionalFormatting>
  <conditionalFormatting sqref="B7:C7 G7">
    <cfRule type="cellIs" dxfId="133" priority="27" operator="lessThan">
      <formula>0.7</formula>
    </cfRule>
    <cfRule type="expression" dxfId="132" priority="28">
      <formula>AND($H$1&lt;0.9,$H$1&gt;=0.7)</formula>
    </cfRule>
    <cfRule type="expression" dxfId="131" priority="29">
      <formula>OR(B7=0.9,B7&gt;0.9)</formula>
    </cfRule>
  </conditionalFormatting>
  <conditionalFormatting sqref="C18:C19 C35:C36 C48:C49 C61:C62 C74:C75 C83:C85 C90">
    <cfRule type="expression" dxfId="130" priority="15">
      <formula>FC=USD</formula>
    </cfRule>
  </conditionalFormatting>
  <conditionalFormatting sqref="C83:C85 C90 C74:C75 C61:C62 C48:C49 C35:C36 C18:C19">
    <cfRule type="expression" dxfId="129" priority="13">
      <formula>FC=ILS</formula>
    </cfRule>
    <cfRule type="expression" dxfId="128" priority="14">
      <formula>FC=EUR</formula>
    </cfRule>
  </conditionalFormatting>
  <conditionalFormatting sqref="D6">
    <cfRule type="cellIs" dxfId="127" priority="8" operator="equal">
      <formula>"-"</formula>
    </cfRule>
  </conditionalFormatting>
  <conditionalFormatting sqref="E6">
    <cfRule type="cellIs" dxfId="126" priority="7" operator="equal">
      <formula>"-"</formula>
    </cfRule>
  </conditionalFormatting>
  <conditionalFormatting sqref="F6">
    <cfRule type="cellIs" dxfId="125" priority="6" operator="equal">
      <formula>"-"</formula>
    </cfRule>
  </conditionalFormatting>
  <conditionalFormatting sqref="H6">
    <cfRule type="cellIs" dxfId="124" priority="5" operator="equal">
      <formula>"-"</formula>
    </cfRule>
  </conditionalFormatting>
  <conditionalFormatting sqref="D7">
    <cfRule type="cellIs" dxfId="123" priority="4" operator="equal">
      <formula>"-"</formula>
    </cfRule>
  </conditionalFormatting>
  <conditionalFormatting sqref="E7">
    <cfRule type="cellIs" dxfId="122" priority="3" operator="equal">
      <formula>"-"</formula>
    </cfRule>
  </conditionalFormatting>
  <conditionalFormatting sqref="F7">
    <cfRule type="cellIs" dxfId="121" priority="2" operator="equal">
      <formula>"-"</formula>
    </cfRule>
  </conditionalFormatting>
  <conditionalFormatting sqref="H7">
    <cfRule type="cellIs" dxfId="120" priority="1" operator="equal">
      <formula>"-"</formula>
    </cfRule>
  </conditionalFormatting>
  <pageMargins left="0.7" right="0.7" top="0.75" bottom="0.75" header="0.3" footer="0.3"/>
  <pageSetup scale="88" fitToWidth="6" fitToHeight="6" orientation="portrait" r:id="rId1"/>
  <headerFooter>
    <oddHeader>&amp;L&amp;G&amp;C&amp;"-,Bold"&amp;16التوصية الائتمانية&amp;R&amp;D</oddHeader>
    <oddFooter>&amp;CPg &amp;P / &amp;N</oddFooter>
  </headerFooter>
  <legacyDrawingHF r:id="rId2"/>
  <extLst>
    <ext xmlns:x14="http://schemas.microsoft.com/office/spreadsheetml/2009/9/main" uri="{78C0D931-6437-407d-A8EE-F0AAD7539E65}">
      <x14:conditionalFormattings>
        <x14:conditionalFormatting xmlns:xm="http://schemas.microsoft.com/office/excel/2006/main">
          <x14:cfRule type="expression" priority="39" id="{75F808F2-41D6-4DBB-B8BC-D90DADDBD388}">
            <xm:f>التوصية!$B$49=""</xm:f>
            <x14:dxf>
              <font>
                <strike/>
                <color theme="0" tint="-0.34998626667073579"/>
              </font>
              <border>
                <vertical/>
                <horizontal/>
              </border>
            </x14:dxf>
          </x14:cfRule>
          <xm:sqref>A30 B30:H42</xm:sqref>
        </x14:conditionalFormatting>
        <x14:conditionalFormatting xmlns:xm="http://schemas.microsoft.com/office/excel/2006/main">
          <x14:cfRule type="expression" priority="38" id="{96FE7AB5-14FF-42CB-B6CA-5853BD7A5115}">
            <xm:f>التوصية!$B$79=""</xm:f>
            <x14:dxf>
              <font>
                <strike/>
                <color theme="0" tint="-0.34998626667073579"/>
              </font>
            </x14:dxf>
          </x14:cfRule>
          <xm:sqref>A43 B43:H55</xm:sqref>
        </x14:conditionalFormatting>
        <x14:conditionalFormatting xmlns:xm="http://schemas.microsoft.com/office/excel/2006/main">
          <x14:cfRule type="expression" priority="35" id="{322E16F7-DF5A-4340-8AD2-6B3D819C6203}">
            <xm:f>التوصية!$B$109=""</xm:f>
            <x14:dxf>
              <font>
                <strike/>
                <color theme="0" tint="-0.34998626667073579"/>
              </font>
            </x14:dxf>
          </x14:cfRule>
          <xm:sqref>A56 B56:H68</xm:sqref>
        </x14:conditionalFormatting>
        <x14:conditionalFormatting xmlns:xm="http://schemas.microsoft.com/office/excel/2006/main">
          <x14:cfRule type="expression" priority="34" id="{8BF27EE7-C089-4970-A7BF-B229103ACFFB}">
            <xm:f>التوصية!$B$139=""</xm:f>
            <x14:dxf>
              <font>
                <strike/>
                <color theme="0" tint="-0.34998626667073579"/>
              </font>
            </x14:dxf>
          </x14:cfRule>
          <xm:sqref>A69 B69:H81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AF112"/>
  <sheetViews>
    <sheetView showGridLines="0" rightToLeft="1" topLeftCell="B9" zoomScaleNormal="100" workbookViewId="0">
      <selection activeCell="C27" sqref="C27"/>
    </sheetView>
  </sheetViews>
  <sheetFormatPr defaultColWidth="9.140625" defaultRowHeight="15"/>
  <cols>
    <col min="1" max="1" width="11" style="648" hidden="1" customWidth="1"/>
    <col min="2" max="2" width="20.7109375" style="648" bestFit="1" customWidth="1"/>
    <col min="3" max="3" width="20.85546875" style="648" bestFit="1" customWidth="1"/>
    <col min="4" max="4" width="9.7109375" style="317" hidden="1" customWidth="1"/>
    <col min="5" max="5" width="9.85546875" style="317" hidden="1" customWidth="1"/>
    <col min="6" max="6" width="9.7109375" style="317" hidden="1" customWidth="1"/>
    <col min="7" max="7" width="7.7109375" style="317" hidden="1" customWidth="1"/>
    <col min="8" max="8" width="11" style="317" hidden="1" customWidth="1"/>
    <col min="9" max="9" width="9.140625" style="317" hidden="1" customWidth="1"/>
    <col min="10" max="10" width="18" style="317" bestFit="1" customWidth="1"/>
    <col min="11" max="11" width="19.85546875" style="317" bestFit="1" customWidth="1"/>
    <col min="12" max="12" width="7.7109375" style="317" hidden="1" customWidth="1"/>
    <col min="13" max="13" width="2" style="317" hidden="1" customWidth="1"/>
    <col min="14" max="14" width="7.7109375" style="317" hidden="1" customWidth="1"/>
    <col min="15" max="15" width="3.5703125" style="317" hidden="1" customWidth="1"/>
    <col min="16" max="16" width="7.7109375" style="317" hidden="1" customWidth="1"/>
    <col min="17" max="17" width="9.7109375" style="317" hidden="1" customWidth="1"/>
    <col min="18" max="18" width="22.85546875" style="317" customWidth="1"/>
    <col min="19" max="19" width="19.85546875" style="317" bestFit="1" customWidth="1"/>
    <col min="20" max="20" width="20.42578125" style="317" hidden="1" customWidth="1"/>
    <col min="21" max="21" width="2" style="317" hidden="1" customWidth="1"/>
    <col min="22" max="22" width="7.7109375" style="317" hidden="1" customWidth="1"/>
    <col min="23" max="23" width="3.5703125" style="317" hidden="1" customWidth="1"/>
    <col min="24" max="24" width="7.7109375" style="317" hidden="1" customWidth="1"/>
    <col min="25" max="25" width="11" style="317" hidden="1" customWidth="1"/>
    <col min="26" max="26" width="21.42578125" style="317" bestFit="1" customWidth="1"/>
    <col min="27" max="27" width="11" style="317" customWidth="1"/>
    <col min="28" max="32" width="11" style="317" hidden="1" customWidth="1"/>
    <col min="33" max="57" width="0" style="317" hidden="1" customWidth="1"/>
    <col min="58" max="16384" width="9.140625" style="317"/>
  </cols>
  <sheetData>
    <row r="1" spans="1:32" ht="20.100000000000001" hidden="1" customHeight="1" thickBot="1">
      <c r="A1" s="1147" t="str">
        <f>التوصية!A2</f>
        <v>الزبون:</v>
      </c>
      <c r="B1" s="1117">
        <f>التوصية!B2</f>
        <v>0</v>
      </c>
      <c r="C1" s="1148" t="str">
        <f>التوصية!C3&amp;" "&amp;التوصية!D3</f>
        <v xml:space="preserve">مدير العلاقة: </v>
      </c>
      <c r="D1" s="1099">
        <f>التوصية!D3</f>
        <v>0</v>
      </c>
      <c r="E1" s="1098" t="str">
        <f>التوصية!C2</f>
        <v>القطاع:</v>
      </c>
      <c r="F1" s="1099" t="str">
        <f>التوصية!D2</f>
        <v>سيارات</v>
      </c>
      <c r="G1" s="1098" t="s">
        <v>1615</v>
      </c>
      <c r="H1" s="1090" t="e">
        <f ca="1">ROUNDUP(SUM(B7:H7),0)</f>
        <v>#N/A</v>
      </c>
      <c r="I1" s="1161"/>
      <c r="J1" s="1161"/>
      <c r="K1" s="1161"/>
      <c r="L1" s="1161"/>
      <c r="M1" s="1161"/>
      <c r="N1" s="1161"/>
      <c r="O1" s="1161"/>
      <c r="P1" s="1161"/>
      <c r="R1" s="1034" t="s">
        <v>1561</v>
      </c>
      <c r="S1" s="1034" t="s">
        <v>489</v>
      </c>
      <c r="T1" s="1034" t="s">
        <v>1567</v>
      </c>
      <c r="Y1" s="1161"/>
      <c r="Z1" s="1161"/>
      <c r="AA1" s="1161"/>
      <c r="AB1" s="1161"/>
      <c r="AC1" s="1161"/>
      <c r="AD1" s="1161"/>
      <c r="AE1" s="1161"/>
      <c r="AF1" s="1161"/>
    </row>
    <row r="2" spans="1:32" hidden="1">
      <c r="R2" s="317" t="s">
        <v>1562</v>
      </c>
      <c r="S2" s="317" t="s">
        <v>1585</v>
      </c>
      <c r="T2" s="317" t="s">
        <v>1588</v>
      </c>
    </row>
    <row r="3" spans="1:32" hidden="1">
      <c r="A3" s="1118"/>
      <c r="B3" s="1119" t="str">
        <f>A11</f>
        <v>الزبون</v>
      </c>
      <c r="C3" s="1119" t="str">
        <f>I11</f>
        <v>الكفيل الاول</v>
      </c>
      <c r="D3" s="1107" t="str">
        <f>I25</f>
        <v>الكفيل الثاني</v>
      </c>
      <c r="E3" s="1107" t="str">
        <f>Q11</f>
        <v>الكفيل الثالث</v>
      </c>
      <c r="F3" s="1107" t="str">
        <f>Q25</f>
        <v>الكفيل الرابع</v>
      </c>
      <c r="G3" s="1107" t="str">
        <f>Y10</f>
        <v>التمويل</v>
      </c>
      <c r="H3" s="1108" t="s">
        <v>159</v>
      </c>
      <c r="I3" s="1162"/>
      <c r="J3" s="1162"/>
      <c r="K3" s="1162"/>
      <c r="L3" s="1162"/>
      <c r="M3" s="1162"/>
      <c r="N3" s="1162"/>
      <c r="O3" s="1162"/>
      <c r="P3" s="1162"/>
      <c r="R3" s="317" t="s">
        <v>1563</v>
      </c>
      <c r="S3" s="317" t="s">
        <v>1586</v>
      </c>
      <c r="T3" s="317" t="s">
        <v>1589</v>
      </c>
      <c r="Y3" s="1162"/>
      <c r="Z3" s="1162"/>
      <c r="AA3" s="1162"/>
      <c r="AB3" s="1162"/>
      <c r="AC3" s="1162"/>
      <c r="AD3" s="1162"/>
      <c r="AE3" s="1162"/>
      <c r="AF3" s="1162"/>
    </row>
    <row r="4" spans="1:32" ht="20.100000000000001" hidden="1" customHeight="1">
      <c r="A4" s="1120" t="s">
        <v>1564</v>
      </c>
      <c r="B4" s="1121" t="e">
        <f ca="1">SUM(H11:H28)+H29</f>
        <v>#N/A</v>
      </c>
      <c r="C4" s="1122" t="str">
        <f>IF(التوصية!B49="","لا يوجد",SUM(P11:P22)+P23)</f>
        <v>لا يوجد</v>
      </c>
      <c r="D4" s="1059" t="str">
        <f>IF(التوصية!B79="","لا يوجد",SUM(P25:P36)+P37)</f>
        <v>لا يوجد</v>
      </c>
      <c r="E4" s="1059" t="str">
        <f>IF(التوصية!B109="","لا يوجد",SUM(X10:X21)+X22)</f>
        <v>لا يوجد</v>
      </c>
      <c r="F4" s="1059" t="str">
        <f>IF(التوصية!B139="","لا يوجد",SUM(X24:X35)+X36)</f>
        <v>لا يوجد</v>
      </c>
      <c r="G4" s="1059" t="e">
        <f>SUM(AF11:AF23)</f>
        <v>#DIV/0!</v>
      </c>
      <c r="H4" s="1088" t="str">
        <f>IF(AND(التوصية!B408="",التوصية!B409=""),"لا يوجد",SUM(AF24:AF26))</f>
        <v>لا يوجد</v>
      </c>
      <c r="I4" s="1163"/>
      <c r="J4" s="1163"/>
      <c r="K4" s="1163"/>
      <c r="L4" s="1163"/>
      <c r="M4" s="1163"/>
      <c r="N4" s="1163"/>
      <c r="O4" s="1163"/>
      <c r="P4" s="1163"/>
      <c r="T4" s="317" t="s">
        <v>1590</v>
      </c>
      <c r="Y4" s="1163"/>
      <c r="Z4" s="1163"/>
      <c r="AA4" s="1163"/>
      <c r="AB4" s="1163"/>
      <c r="AC4" s="1163"/>
      <c r="AD4" s="1163"/>
      <c r="AE4" s="1163"/>
      <c r="AF4" s="1163"/>
    </row>
    <row r="5" spans="1:32" ht="20.100000000000001" hidden="1" customHeight="1">
      <c r="A5" s="1123" t="s">
        <v>1599</v>
      </c>
      <c r="B5" s="1124"/>
      <c r="C5" s="1125"/>
      <c r="D5" s="1084">
        <f>IF(D4="لا يوجد",0,1)</f>
        <v>0</v>
      </c>
      <c r="E5" s="1084">
        <f>IF(E4="لا يوجد",0,1)</f>
        <v>0</v>
      </c>
      <c r="F5" s="1084">
        <f>IF(F4="لا يوجد",0,1)</f>
        <v>0</v>
      </c>
      <c r="G5" s="1084"/>
      <c r="H5" s="1086"/>
      <c r="I5" s="1083"/>
      <c r="J5" s="1083"/>
      <c r="K5" s="1083"/>
      <c r="L5" s="1083"/>
      <c r="M5" s="1083"/>
      <c r="N5" s="1083"/>
      <c r="O5" s="1083"/>
      <c r="P5" s="1083"/>
      <c r="Y5" s="1083"/>
      <c r="Z5" s="1083"/>
      <c r="AA5" s="1083"/>
      <c r="AB5" s="1083"/>
      <c r="AC5" s="1083"/>
      <c r="AD5" s="1083"/>
      <c r="AE5" s="1083"/>
      <c r="AF5" s="1083"/>
    </row>
    <row r="6" spans="1:32" ht="20.100000000000001" hidden="1" customHeight="1">
      <c r="A6" s="1126" t="s">
        <v>373</v>
      </c>
      <c r="B6" s="1127">
        <v>0.5</v>
      </c>
      <c r="C6" s="1127">
        <f>IF(SUM($D$5:$F$5)=0,0.25,IF(SUM($D$5:$F$5)=1,0.25/2,IF(SUM($D$5:$F$5)=2,0.25/3,IF(SUM($D$5:$F$5)=3,0.25/4))))</f>
        <v>0.25</v>
      </c>
      <c r="D6" s="1052" t="str">
        <f>IF(SUM($D$5:$F$5)=0,"-",IF(SUM($D$5:$F$5)=1,0.25/2,IF(SUM($D$5:$F$5)=2,0.25/3,IF(SUM($D$5:$F$5)=3,0.25/4))))</f>
        <v>-</v>
      </c>
      <c r="E6" s="1052" t="str">
        <f>IF(SUM($E$5:$F$5)=0,"-",IF(SUM($E$5:$F$5)=1,0.25/3,IF(SUM($E$5:$F$5)=2,0.25/4)))</f>
        <v>-</v>
      </c>
      <c r="F6" s="1052" t="str">
        <f>IF(SUM($F$5)=0,"-",IF(SUM($F$5)=1,0.25/4))</f>
        <v>-</v>
      </c>
      <c r="G6" s="1052">
        <f>IF(H6=0.25/2,0.25/2,0.25)</f>
        <v>0.25</v>
      </c>
      <c r="H6" s="1089" t="str">
        <f>IF(OR(التوصية!D2='بيانات للادخال'!T3,التوصية!D2='بيانات للادخال'!T4,التوصية!D2='بيانات للادخال'!T5,التوصية!D2='بيانات للادخال'!T6,التوصية!D2='بيانات للادخال'!T7,التوصية!D2='بيانات للادخال'!T8,التوصية!D2='بيانات للادخال'!T10,التوصية!D2='بيانات للادخال'!T11,التوصية!D2='بيانات للادخال'!T12),0.25/2,"-")</f>
        <v>-</v>
      </c>
      <c r="I6" s="1052"/>
      <c r="J6" s="1052"/>
      <c r="K6" s="1052"/>
      <c r="L6" s="1052"/>
      <c r="M6" s="1052"/>
      <c r="N6" s="1052"/>
      <c r="O6" s="1052"/>
      <c r="P6" s="1052"/>
      <c r="Y6" s="1052"/>
      <c r="Z6" s="1052"/>
      <c r="AA6" s="1052"/>
      <c r="AB6" s="1052"/>
      <c r="AC6" s="1052"/>
      <c r="AD6" s="1052"/>
      <c r="AE6" s="1052"/>
      <c r="AF6" s="1052"/>
    </row>
    <row r="7" spans="1:32" s="648" customFormat="1" ht="20.100000000000001" hidden="1" customHeight="1">
      <c r="A7" s="1128" t="s">
        <v>1596</v>
      </c>
      <c r="B7" s="1129" t="e">
        <f ca="1">B4*B6</f>
        <v>#N/A</v>
      </c>
      <c r="C7" s="1130">
        <f t="shared" ref="C7:G7" si="0">IFERROR(C4*C6,0)</f>
        <v>0</v>
      </c>
      <c r="D7" s="1109" t="str">
        <f>IF(D4="لا يوجد","-",D4*D6)</f>
        <v>-</v>
      </c>
      <c r="E7" s="1109" t="str">
        <f t="shared" ref="E7:H7" si="1">IF(E4="لا يوجد","-",E4*E6)</f>
        <v>-</v>
      </c>
      <c r="F7" s="1109" t="str">
        <f t="shared" si="1"/>
        <v>-</v>
      </c>
      <c r="G7" s="1092">
        <f t="shared" si="0"/>
        <v>0</v>
      </c>
      <c r="H7" s="1110" t="str">
        <f t="shared" si="1"/>
        <v>-</v>
      </c>
      <c r="I7" s="1052"/>
      <c r="J7" s="1052"/>
      <c r="K7" s="1052"/>
      <c r="L7" s="1052"/>
      <c r="M7" s="1052"/>
      <c r="N7" s="1052"/>
      <c r="O7" s="1052"/>
      <c r="P7" s="1052"/>
      <c r="Y7" s="1052"/>
      <c r="Z7" s="1052"/>
      <c r="AA7" s="1052"/>
      <c r="AB7" s="1052"/>
      <c r="AC7" s="1052"/>
      <c r="AD7" s="1052"/>
      <c r="AE7" s="1052"/>
      <c r="AF7" s="1052"/>
    </row>
    <row r="8" spans="1:32" hidden="1"/>
    <row r="9" spans="1:32" ht="18.75">
      <c r="B9" s="1370" t="str">
        <f>"الزبون: "&amp;التوصية!B2</f>
        <v xml:space="preserve">الزبون: </v>
      </c>
      <c r="C9" s="1371"/>
      <c r="D9" s="1111"/>
      <c r="E9" s="1111"/>
      <c r="F9" s="1111"/>
      <c r="G9" s="1111"/>
      <c r="H9" s="1112"/>
      <c r="I9" s="648"/>
      <c r="J9" s="1370" t="str">
        <f>"الكفيل الاول: "&amp;التوصية!B49</f>
        <v xml:space="preserve">الكفيل الاول: </v>
      </c>
      <c r="K9" s="1371"/>
      <c r="L9" s="1111"/>
      <c r="M9" s="1111"/>
      <c r="N9" s="1111"/>
      <c r="O9" s="1111"/>
      <c r="P9" s="1112"/>
      <c r="Q9" s="1139"/>
      <c r="R9" s="1370" t="str">
        <f>"الكفيل الثالث: "&amp;التوصية!B109</f>
        <v xml:space="preserve">الكفيل الثالث: </v>
      </c>
      <c r="S9" s="1371"/>
      <c r="T9" s="1111"/>
      <c r="U9" s="1111"/>
      <c r="V9" s="1111"/>
      <c r="W9" s="1111"/>
      <c r="X9" s="1112"/>
      <c r="Y9" s="648"/>
      <c r="Z9" s="1370" t="s">
        <v>531</v>
      </c>
      <c r="AA9" s="1371"/>
      <c r="AB9" s="1111"/>
      <c r="AC9" s="1111"/>
      <c r="AD9" s="1111"/>
      <c r="AE9" s="1111"/>
      <c r="AF9" s="1112"/>
    </row>
    <row r="10" spans="1:32" ht="18.75" hidden="1">
      <c r="A10" s="1131" t="s">
        <v>1565</v>
      </c>
      <c r="B10" s="1131" t="s">
        <v>1598</v>
      </c>
      <c r="C10" s="1132" t="s">
        <v>462</v>
      </c>
      <c r="D10" s="1061" t="s">
        <v>377</v>
      </c>
      <c r="E10" s="1061" t="s">
        <v>1592</v>
      </c>
      <c r="F10" s="1061" t="s">
        <v>1564</v>
      </c>
      <c r="G10" s="1061" t="s">
        <v>373</v>
      </c>
      <c r="H10" s="1062" t="s">
        <v>1596</v>
      </c>
      <c r="I10" s="648"/>
      <c r="J10" s="1167"/>
      <c r="K10" s="1168"/>
      <c r="L10" s="1160"/>
      <c r="M10" s="1160"/>
      <c r="N10" s="1160"/>
      <c r="O10" s="1160"/>
      <c r="P10" s="1169"/>
      <c r="Q10" s="1139"/>
      <c r="R10" s="1167"/>
      <c r="S10" s="1168"/>
      <c r="T10" s="1071">
        <f ca="1">IF(S11&gt;=60,0,IF(S11+(tenor/12)&lt;=60,2,IF(AND(S11&lt;60,S11+(tenor/12)&gt;=60),1)))</f>
        <v>0</v>
      </c>
      <c r="U10" s="1071">
        <v>2</v>
      </c>
      <c r="V10" s="1073">
        <f t="shared" ref="V10:V22" ca="1" si="2">T10/U10</f>
        <v>0</v>
      </c>
      <c r="W10" s="1075">
        <f t="shared" ref="W10:W21" si="3">1/COUNT($U$10:$U$21)</f>
        <v>8.3333333333333329E-2</v>
      </c>
      <c r="X10" s="1074">
        <f t="shared" ref="X10:X22" ca="1" si="4">V10*W10</f>
        <v>0</v>
      </c>
      <c r="Y10" s="1138" t="s">
        <v>531</v>
      </c>
      <c r="Z10" s="1167"/>
      <c r="AA10" s="1168"/>
      <c r="AB10" s="1160"/>
      <c r="AC10" s="1160"/>
      <c r="AD10" s="1160"/>
      <c r="AE10" s="1160"/>
      <c r="AF10" s="1169"/>
    </row>
    <row r="11" spans="1:32" ht="15.75">
      <c r="A11" s="1133" t="s">
        <v>385</v>
      </c>
      <c r="B11" s="1155" t="s">
        <v>395</v>
      </c>
      <c r="C11" s="1149">
        <f ca="1">التوصية!D8</f>
        <v>121.6</v>
      </c>
      <c r="D11" s="1042">
        <f ca="1">IF(C11&gt;=60,0,IF(C11+(tenor/12)&lt;=60,2,IF(AND(C11&lt;60,C11+(tenor/12)&gt;=60),1)))</f>
        <v>0</v>
      </c>
      <c r="E11" s="1042">
        <v>2</v>
      </c>
      <c r="F11" s="1043">
        <f t="shared" ref="F11:F26" ca="1" si="5">D11/E11</f>
        <v>0</v>
      </c>
      <c r="G11" s="1044">
        <f t="shared" ref="G11:G28" si="6">1/COUNT($E$11:$E$28)</f>
        <v>5.5555555555555552E-2</v>
      </c>
      <c r="H11" s="1064">
        <f ca="1">F11*G11</f>
        <v>0</v>
      </c>
      <c r="I11" s="1138" t="s">
        <v>1568</v>
      </c>
      <c r="J11" s="1157" t="s">
        <v>395</v>
      </c>
      <c r="K11" s="1140">
        <f ca="1">التوصية!D52</f>
        <v>121.6</v>
      </c>
      <c r="L11" s="1071">
        <f ca="1">IF(K11&gt;=60,0,IF(K11+(tenor/12)&lt;=60,2,IF(AND(K11&lt;60,K11+(tenor/12)&gt;=60),1)))</f>
        <v>0</v>
      </c>
      <c r="M11" s="1071">
        <v>2</v>
      </c>
      <c r="N11" s="1073">
        <f t="shared" ref="N11:N23" ca="1" si="7">L11/M11</f>
        <v>0</v>
      </c>
      <c r="O11" s="1075">
        <f t="shared" ref="O11:O22" si="8">1/COUNT($M$11:$M$22)</f>
        <v>8.3333333333333329E-2</v>
      </c>
      <c r="P11" s="1074">
        <f t="shared" ref="P11:P22" ca="1" si="9">N11*O11</f>
        <v>0</v>
      </c>
      <c r="Q11" s="1138" t="s">
        <v>637</v>
      </c>
      <c r="R11" s="1157" t="s">
        <v>395</v>
      </c>
      <c r="S11" s="1140">
        <f ca="1">التوصية!D112</f>
        <v>121.6</v>
      </c>
      <c r="T11" s="1042" t="e">
        <f>VLOOKUP(S12,'بيانات للادخال'!$X$2:$Y$14,2,FALSE)</f>
        <v>#N/A</v>
      </c>
      <c r="U11" s="1042">
        <v>2</v>
      </c>
      <c r="V11" s="1043" t="e">
        <f t="shared" si="2"/>
        <v>#N/A</v>
      </c>
      <c r="W11" s="1044">
        <f t="shared" si="3"/>
        <v>8.3333333333333329E-2</v>
      </c>
      <c r="X11" s="1064" t="e">
        <f t="shared" si="4"/>
        <v>#N/A</v>
      </c>
      <c r="Y11" s="1134"/>
      <c r="Z11" s="1157" t="s">
        <v>490</v>
      </c>
      <c r="AA11" s="1142">
        <f>التوصية!A253</f>
        <v>0</v>
      </c>
      <c r="AB11" s="1071">
        <f>IF(التوصية!D2='بيانات للادخال'!T2,2,IF(التوصية!D2='بيانات للادخال'!T3,1,0))</f>
        <v>2</v>
      </c>
      <c r="AC11" s="1071">
        <v>2</v>
      </c>
      <c r="AD11" s="1073">
        <f t="shared" ref="AD11:AD26" si="10">AB11/AC11</f>
        <v>1</v>
      </c>
      <c r="AE11" s="1075">
        <f t="shared" ref="AE11:AE23" si="11">1/COUNT($AC$11:$AC$23)</f>
        <v>7.6923076923076927E-2</v>
      </c>
      <c r="AF11" s="1074">
        <f t="shared" ref="AF11:AF26" si="12">AD11*AE11</f>
        <v>7.6923076923076927E-2</v>
      </c>
    </row>
    <row r="12" spans="1:32" ht="15.75">
      <c r="A12" s="1134"/>
      <c r="B12" s="1155" t="s">
        <v>126</v>
      </c>
      <c r="C12" s="1150">
        <f>التوصية!D7</f>
        <v>0</v>
      </c>
      <c r="D12" s="1042">
        <f>IF(C12='بيانات للادخال'!N2,1,0)</f>
        <v>0</v>
      </c>
      <c r="E12" s="1042">
        <v>1</v>
      </c>
      <c r="F12" s="1043">
        <f t="shared" si="5"/>
        <v>0</v>
      </c>
      <c r="G12" s="1044">
        <f t="shared" si="6"/>
        <v>5.5555555555555552E-2</v>
      </c>
      <c r="H12" s="1064">
        <f t="shared" ref="H12:H25" si="13">F12*G12</f>
        <v>0</v>
      </c>
      <c r="I12" s="1380" t="str">
        <f>IF(التوصية!B49="","HIDE",التوصية!B49)</f>
        <v>HIDE</v>
      </c>
      <c r="J12" s="1134" t="s">
        <v>211</v>
      </c>
      <c r="K12" s="1079">
        <f>التوصية!B55</f>
        <v>0</v>
      </c>
      <c r="L12" s="1042" t="e">
        <f>VLOOKUP(K12,'بيانات للادخال'!$X$2:$Y$14,2,FALSE)</f>
        <v>#N/A</v>
      </c>
      <c r="M12" s="1042">
        <v>2</v>
      </c>
      <c r="N12" s="1043" t="e">
        <f t="shared" si="7"/>
        <v>#N/A</v>
      </c>
      <c r="O12" s="1044">
        <f t="shared" si="8"/>
        <v>8.3333333333333329E-2</v>
      </c>
      <c r="P12" s="1064" t="e">
        <f t="shared" si="9"/>
        <v>#N/A</v>
      </c>
      <c r="Q12" s="1380" t="str">
        <f>IF(التوصية!B109="","HIDE",التوصية!B109)</f>
        <v>HIDE</v>
      </c>
      <c r="R12" s="1134" t="s">
        <v>211</v>
      </c>
      <c r="S12" s="1079">
        <f>التوصية!B115</f>
        <v>0</v>
      </c>
      <c r="T12" s="1042">
        <f>IF(التوصية!D118='بيانات للادخال'!$M$2,1,0)</f>
        <v>0</v>
      </c>
      <c r="U12" s="1042">
        <v>1</v>
      </c>
      <c r="V12" s="1043">
        <f t="shared" si="2"/>
        <v>0</v>
      </c>
      <c r="W12" s="1044">
        <f t="shared" si="3"/>
        <v>8.3333333333333329E-2</v>
      </c>
      <c r="X12" s="1064">
        <f t="shared" si="4"/>
        <v>0</v>
      </c>
      <c r="Y12" s="1134"/>
      <c r="Z12" s="1134" t="s">
        <v>1573</v>
      </c>
      <c r="AA12" s="1079">
        <f>التوصية!B253</f>
        <v>10373</v>
      </c>
      <c r="AB12" s="1042">
        <f>IF(AA12&lt;=التوصية!D272,2,IF(AA12&lt;=التوصية!D272*1.05,1,0))</f>
        <v>0</v>
      </c>
      <c r="AC12" s="1042">
        <v>2</v>
      </c>
      <c r="AD12" s="1043">
        <f t="shared" si="10"/>
        <v>0</v>
      </c>
      <c r="AE12" s="1044">
        <f t="shared" si="11"/>
        <v>7.6923076923076927E-2</v>
      </c>
      <c r="AF12" s="1064">
        <f t="shared" si="12"/>
        <v>0</v>
      </c>
    </row>
    <row r="13" spans="1:32" ht="15.75">
      <c r="A13" s="1134"/>
      <c r="B13" s="1155" t="s">
        <v>567</v>
      </c>
      <c r="C13" s="1150" t="str">
        <f>التوصية!B9</f>
        <v>منطقة "أ" او "ب"</v>
      </c>
      <c r="D13" s="1042">
        <f>IF(C13='بيانات للادخال'!Q2,1,0)</f>
        <v>1</v>
      </c>
      <c r="E13" s="1042">
        <v>1</v>
      </c>
      <c r="F13" s="1043">
        <f t="shared" si="5"/>
        <v>1</v>
      </c>
      <c r="G13" s="1044">
        <f t="shared" si="6"/>
        <v>5.5555555555555552E-2</v>
      </c>
      <c r="H13" s="1064">
        <f t="shared" si="13"/>
        <v>5.5555555555555552E-2</v>
      </c>
      <c r="I13" s="1380"/>
      <c r="J13" s="1134" t="s">
        <v>1597</v>
      </c>
      <c r="K13" s="1135">
        <f>التوصية!B57</f>
        <v>0</v>
      </c>
      <c r="L13" s="1042">
        <f>IF(التوصية!D58='بيانات للادخال'!$M$2,1,0)</f>
        <v>1</v>
      </c>
      <c r="M13" s="1042">
        <v>1</v>
      </c>
      <c r="N13" s="1043">
        <f t="shared" si="7"/>
        <v>1</v>
      </c>
      <c r="O13" s="1044">
        <f t="shared" si="8"/>
        <v>8.3333333333333329E-2</v>
      </c>
      <c r="P13" s="1064">
        <f t="shared" si="9"/>
        <v>8.3333333333333329E-2</v>
      </c>
      <c r="Q13" s="1381"/>
      <c r="R13" s="1134" t="s">
        <v>1597</v>
      </c>
      <c r="S13" s="1135">
        <f>التوصية!B117</f>
        <v>0</v>
      </c>
      <c r="T13" s="1042">
        <f ca="1">IF(OR(S14="-",S14&lt;0.5),0,IF(AND(S14&gt;=0.5,S14&lt;1),1,IF(AND(S14&gt;=1,S14&lt;2),2,IF(AND(S14&gt;=2,S14&lt;=5),3,IF(AND(S14&gt;5,S14&lt;10),4,IF(S14&gt;=10,5))))))</f>
        <v>5</v>
      </c>
      <c r="U13" s="1042">
        <v>3</v>
      </c>
      <c r="V13" s="1043">
        <f t="shared" ca="1" si="2"/>
        <v>1.6666666666666667</v>
      </c>
      <c r="W13" s="1044">
        <f t="shared" si="3"/>
        <v>8.3333333333333329E-2</v>
      </c>
      <c r="X13" s="1064">
        <f t="shared" ca="1" si="4"/>
        <v>0.1388888888888889</v>
      </c>
      <c r="Y13" s="1134"/>
      <c r="Z13" s="1134" t="str">
        <f>"الدفعة الاولى ("&amp;AA13/AA12*100&amp;"%)"</f>
        <v>الدفعة الاولى (29.2133715444233%)</v>
      </c>
      <c r="AA13" s="1079">
        <f>التوصية!C253</f>
        <v>3030.3030303030305</v>
      </c>
      <c r="AB13" s="1042">
        <f>IF(AA13/AA12&gt;=0.5,4,IF(AND(AA13/AA12&gt;=0.4,AA13/AA12&lt;0.5),3,IF(AND(AA13/AA12&gt;=0.3,AA13/AA12&lt;0.4),2,IF(AND(AA13/AA12&lt;0.3,AA13/AA12&gt;=0.2),1,0))))</f>
        <v>1</v>
      </c>
      <c r="AC13" s="1042">
        <v>4</v>
      </c>
      <c r="AD13" s="1043">
        <f t="shared" si="10"/>
        <v>0.25</v>
      </c>
      <c r="AE13" s="1044">
        <f t="shared" si="11"/>
        <v>7.6923076923076927E-2</v>
      </c>
      <c r="AF13" s="1064">
        <f t="shared" si="12"/>
        <v>1.9230769230769232E-2</v>
      </c>
    </row>
    <row r="14" spans="1:32" ht="15.75">
      <c r="A14" s="1134"/>
      <c r="B14" s="1155" t="s">
        <v>211</v>
      </c>
      <c r="C14" s="1150">
        <f>التوصية!B21</f>
        <v>0</v>
      </c>
      <c r="D14" s="1042" t="e">
        <f>VLOOKUP(C14,'بيانات للادخال'!$X$2:$Y$14,2,FALSE)</f>
        <v>#N/A</v>
      </c>
      <c r="E14" s="1042">
        <v>2</v>
      </c>
      <c r="F14" s="1043" t="e">
        <f t="shared" si="5"/>
        <v>#N/A</v>
      </c>
      <c r="G14" s="1044">
        <f t="shared" si="6"/>
        <v>5.5555555555555552E-2</v>
      </c>
      <c r="H14" s="1064" t="e">
        <f t="shared" si="13"/>
        <v>#N/A</v>
      </c>
      <c r="I14" s="1380"/>
      <c r="J14" s="1134" t="s">
        <v>1618</v>
      </c>
      <c r="K14" s="1113">
        <f ca="1">التوصية!D56</f>
        <v>121.6</v>
      </c>
      <c r="L14" s="1042">
        <f ca="1">IF(OR(K14="-",K14&lt;0.5),0,IF(AND(K14&gt;=0.5,K14&lt;1),1,IF(AND(K14&gt;=1,K14&lt;2),2,IF(AND(K14&gt;=2,K14&lt;=5),3,IF(AND(K14&gt;5,K14&lt;10),4,IF(K14&gt;=10,5))))))</f>
        <v>5</v>
      </c>
      <c r="M14" s="1042">
        <v>3</v>
      </c>
      <c r="N14" s="1043">
        <f t="shared" ca="1" si="7"/>
        <v>1.6666666666666667</v>
      </c>
      <c r="O14" s="1044">
        <f t="shared" si="8"/>
        <v>8.3333333333333329E-2</v>
      </c>
      <c r="P14" s="1064">
        <f t="shared" ca="1" si="9"/>
        <v>0.1388888888888889</v>
      </c>
      <c r="Q14" s="1381"/>
      <c r="R14" s="1134" t="s">
        <v>1618</v>
      </c>
      <c r="S14" s="1113">
        <f ca="1">التوصية!D116</f>
        <v>121.6</v>
      </c>
      <c r="T14" s="1042">
        <f>IF(S15=$S$2,1,0)</f>
        <v>1</v>
      </c>
      <c r="U14" s="1042">
        <v>1</v>
      </c>
      <c r="V14" s="1043">
        <f t="shared" si="2"/>
        <v>1</v>
      </c>
      <c r="W14" s="1044">
        <f t="shared" si="3"/>
        <v>8.3333333333333329E-2</v>
      </c>
      <c r="X14" s="1064">
        <f t="shared" si="4"/>
        <v>8.3333333333333329E-2</v>
      </c>
      <c r="Y14" s="1134"/>
      <c r="Z14" s="1134" t="s">
        <v>1574</v>
      </c>
      <c r="AA14" s="1079">
        <f>التوصية!D253</f>
        <v>7342.69696969697</v>
      </c>
      <c r="AB14" s="1042" t="e">
        <f>IF(AA14/C18&lt;=10,2,IF(AND(AA14/C18&gt;10,AA14/C18&lt;=20),1,0))</f>
        <v>#DIV/0!</v>
      </c>
      <c r="AC14" s="1042">
        <v>2</v>
      </c>
      <c r="AD14" s="1043" t="e">
        <f t="shared" si="10"/>
        <v>#DIV/0!</v>
      </c>
      <c r="AE14" s="1044">
        <f t="shared" si="11"/>
        <v>7.6923076923076927E-2</v>
      </c>
      <c r="AF14" s="1064" t="e">
        <f t="shared" si="12"/>
        <v>#DIV/0!</v>
      </c>
    </row>
    <row r="15" spans="1:32" ht="15.75">
      <c r="A15" s="1134"/>
      <c r="B15" s="1155" t="s">
        <v>1597</v>
      </c>
      <c r="C15" s="1150">
        <f>التوصية!B23</f>
        <v>0</v>
      </c>
      <c r="D15" s="1042">
        <f>IF(التوصية!D24='بيانات للادخال'!M2,1,0)</f>
        <v>1</v>
      </c>
      <c r="E15" s="1042">
        <v>1</v>
      </c>
      <c r="F15" s="1043">
        <f t="shared" si="5"/>
        <v>1</v>
      </c>
      <c r="G15" s="1044">
        <f t="shared" si="6"/>
        <v>5.5555555555555552E-2</v>
      </c>
      <c r="H15" s="1064">
        <f t="shared" si="13"/>
        <v>5.5555555555555552E-2</v>
      </c>
      <c r="I15" s="1380"/>
      <c r="J15" s="1134" t="s">
        <v>489</v>
      </c>
      <c r="K15" s="1079" t="str">
        <f>IF(التوصية!D58='بيانات للادخال'!M2,"معتمد",IF(التوصية!D58='بيانات للادخال'!M3,"غير معتمد"))</f>
        <v>معتمد</v>
      </c>
      <c r="L15" s="1042">
        <f>IF(K15=$S$2,1,0)</f>
        <v>1</v>
      </c>
      <c r="M15" s="1042">
        <v>1</v>
      </c>
      <c r="N15" s="1043">
        <f t="shared" si="7"/>
        <v>1</v>
      </c>
      <c r="O15" s="1044">
        <f t="shared" si="8"/>
        <v>8.3333333333333329E-2</v>
      </c>
      <c r="P15" s="1064">
        <f t="shared" si="9"/>
        <v>8.3333333333333329E-2</v>
      </c>
      <c r="Q15" s="1381"/>
      <c r="R15" s="1134" t="s">
        <v>489</v>
      </c>
      <c r="S15" s="1079" t="str">
        <f>IF(التوصية!D118='بيانات للادخال'!M13,"معتمد",IF(التوصية!D118='بيانات للادخال'!M14,"غير معتمد"))</f>
        <v>معتمد</v>
      </c>
      <c r="T15" s="1045">
        <f>IF(S16&gt;=التوصية!$D$284*2,1,0)</f>
        <v>0</v>
      </c>
      <c r="U15" s="1042">
        <v>1</v>
      </c>
      <c r="V15" s="1043">
        <f t="shared" si="2"/>
        <v>0</v>
      </c>
      <c r="W15" s="1044">
        <f t="shared" si="3"/>
        <v>8.3333333333333329E-2</v>
      </c>
      <c r="X15" s="1064">
        <f t="shared" si="4"/>
        <v>0</v>
      </c>
      <c r="Y15" s="1134"/>
      <c r="Z15" s="1134" t="s">
        <v>1579</v>
      </c>
      <c r="AA15" s="1079">
        <f>tenor</f>
        <v>48</v>
      </c>
      <c r="AB15" s="1042">
        <f>IF(AA15&lt;=36,2,IF(AND(AA15&gt;36,AA15&lt;=48),1,0))</f>
        <v>1</v>
      </c>
      <c r="AC15" s="1042">
        <v>2</v>
      </c>
      <c r="AD15" s="1043">
        <f t="shared" si="10"/>
        <v>0.5</v>
      </c>
      <c r="AE15" s="1044">
        <f t="shared" si="11"/>
        <v>7.6923076923076927E-2</v>
      </c>
      <c r="AF15" s="1064">
        <f t="shared" si="12"/>
        <v>3.8461538461538464E-2</v>
      </c>
    </row>
    <row r="16" spans="1:32" ht="15.75">
      <c r="A16" s="1134"/>
      <c r="B16" s="1155" t="s">
        <v>1618</v>
      </c>
      <c r="C16" s="1151">
        <f ca="1">التوصية!D22</f>
        <v>121.6</v>
      </c>
      <c r="D16" s="1042">
        <f ca="1">IF(OR(C16="-",C16&lt;0.5),0,IF(AND(C16&gt;=0.5,C16&lt;1),1,IF(AND(C16&gt;=1,C16&lt;2),2,IF(AND(C16&gt;=2,C16&lt;=5),3,IF(AND(C16&gt;5,C16&lt;10),4,IF(C16&gt;=10,5))))))</f>
        <v>5</v>
      </c>
      <c r="E16" s="1042">
        <v>3</v>
      </c>
      <c r="F16" s="1043">
        <f t="shared" ca="1" si="5"/>
        <v>1.6666666666666667</v>
      </c>
      <c r="G16" s="1044">
        <f t="shared" si="6"/>
        <v>5.5555555555555552E-2</v>
      </c>
      <c r="H16" s="1064">
        <f t="shared" ca="1" si="13"/>
        <v>9.2592592592592587E-2</v>
      </c>
      <c r="I16" s="1380"/>
      <c r="J16" s="1134" t="s">
        <v>1561</v>
      </c>
      <c r="K16" s="1079">
        <f>التوصية!D57+التوصية!D63+التوصية!D69+التوصية!D75</f>
        <v>0</v>
      </c>
      <c r="L16" s="1042">
        <f>IF(K16&gt;=التوصية!$D$284*2,1,0)</f>
        <v>0</v>
      </c>
      <c r="M16" s="1042">
        <v>1</v>
      </c>
      <c r="N16" s="1043">
        <f t="shared" si="7"/>
        <v>0</v>
      </c>
      <c r="O16" s="1044">
        <f t="shared" si="8"/>
        <v>8.3333333333333329E-2</v>
      </c>
      <c r="P16" s="1064">
        <f t="shared" si="9"/>
        <v>0</v>
      </c>
      <c r="Q16" s="1381"/>
      <c r="R16" s="1134" t="s">
        <v>1561</v>
      </c>
      <c r="S16" s="1079">
        <f>التوصية!D117+التوصية!D123+التوصية!D129+التوصية!D135</f>
        <v>0</v>
      </c>
      <c r="T16" s="1045">
        <f>IF(S17&gt;=التوصية!D117,1,0)</f>
        <v>1</v>
      </c>
      <c r="U16" s="1042">
        <v>1</v>
      </c>
      <c r="V16" s="1043">
        <f t="shared" si="2"/>
        <v>1</v>
      </c>
      <c r="W16" s="1044">
        <f t="shared" si="3"/>
        <v>8.3333333333333329E-2</v>
      </c>
      <c r="X16" s="1064">
        <f t="shared" si="4"/>
        <v>8.3333333333333329E-2</v>
      </c>
      <c r="Y16" s="1134"/>
      <c r="Z16" s="1134" t="s">
        <v>1580</v>
      </c>
      <c r="AA16" s="1079">
        <f>التوصية!D281</f>
        <v>0</v>
      </c>
      <c r="AB16" s="1042">
        <f>IF(AA16=0,1,0)</f>
        <v>1</v>
      </c>
      <c r="AC16" s="1042">
        <v>1</v>
      </c>
      <c r="AD16" s="1043">
        <f t="shared" si="10"/>
        <v>1</v>
      </c>
      <c r="AE16" s="1044">
        <f t="shared" si="11"/>
        <v>7.6923076923076927E-2</v>
      </c>
      <c r="AF16" s="1064">
        <f t="shared" si="12"/>
        <v>7.6923076923076927E-2</v>
      </c>
    </row>
    <row r="17" spans="1:32" ht="15.75">
      <c r="A17" s="1134"/>
      <c r="B17" s="1155" t="s">
        <v>489</v>
      </c>
      <c r="C17" s="1150" t="str">
        <f>IF(التوصية!D24='بيانات للادخال'!M2,S2,IF(التوصية!D24='بيانات للادخال'!M3,S3))</f>
        <v>معتمد</v>
      </c>
      <c r="D17" s="1042">
        <f>IF(C17=$S$2,1,0)</f>
        <v>1</v>
      </c>
      <c r="E17" s="1042">
        <v>1</v>
      </c>
      <c r="F17" s="1043">
        <f t="shared" si="5"/>
        <v>1</v>
      </c>
      <c r="G17" s="1044">
        <f t="shared" si="6"/>
        <v>5.5555555555555552E-2</v>
      </c>
      <c r="H17" s="1064">
        <f t="shared" si="13"/>
        <v>5.5555555555555552E-2</v>
      </c>
      <c r="I17" s="1134"/>
      <c r="J17" s="1134" t="s">
        <v>359</v>
      </c>
      <c r="K17" s="1079">
        <f>التوصية!D180</f>
        <v>0</v>
      </c>
      <c r="L17" s="1045">
        <f>IF(K17&gt;=التوصية!D57,1,0)</f>
        <v>1</v>
      </c>
      <c r="M17" s="1042">
        <v>1</v>
      </c>
      <c r="N17" s="1043">
        <f t="shared" si="7"/>
        <v>1</v>
      </c>
      <c r="O17" s="1044">
        <f t="shared" si="8"/>
        <v>8.3333333333333329E-2</v>
      </c>
      <c r="P17" s="1064">
        <f t="shared" si="9"/>
        <v>8.3333333333333329E-2</v>
      </c>
      <c r="Q17" s="1134"/>
      <c r="R17" s="1134" t="s">
        <v>359</v>
      </c>
      <c r="S17" s="1079">
        <f>التوصية!D186</f>
        <v>0</v>
      </c>
      <c r="T17" s="1045">
        <f>IF(S18=$R$2,1,0)</f>
        <v>1</v>
      </c>
      <c r="U17" s="1042">
        <v>1</v>
      </c>
      <c r="V17" s="1043">
        <f t="shared" si="2"/>
        <v>1</v>
      </c>
      <c r="W17" s="1044">
        <f t="shared" si="3"/>
        <v>8.3333333333333329E-2</v>
      </c>
      <c r="X17" s="1064">
        <f t="shared" si="4"/>
        <v>8.3333333333333329E-2</v>
      </c>
      <c r="Y17" s="1134"/>
      <c r="Z17" s="1134" t="s">
        <v>1581</v>
      </c>
      <c r="AA17" s="1079">
        <f>التوصية!D282</f>
        <v>0</v>
      </c>
      <c r="AB17" s="1042">
        <f>IF(AA17=0,1,0)</f>
        <v>1</v>
      </c>
      <c r="AC17" s="1042">
        <v>1</v>
      </c>
      <c r="AD17" s="1043">
        <f t="shared" si="10"/>
        <v>1</v>
      </c>
      <c r="AE17" s="1044">
        <f t="shared" si="11"/>
        <v>7.6923076923076927E-2</v>
      </c>
      <c r="AF17" s="1064">
        <f t="shared" si="12"/>
        <v>7.6923076923076927E-2</v>
      </c>
    </row>
    <row r="18" spans="1:32" ht="15.75">
      <c r="A18" s="1134"/>
      <c r="B18" s="1155" t="s">
        <v>1561</v>
      </c>
      <c r="C18" s="1150">
        <f>التوصية!D23+التوصية!D29+التوصية!D35+التوصية!D41</f>
        <v>0</v>
      </c>
      <c r="D18" s="1042">
        <f>IF(C18&gt;=التوصية!$D$284*2,1,0)</f>
        <v>0</v>
      </c>
      <c r="E18" s="1042">
        <v>1</v>
      </c>
      <c r="F18" s="1043">
        <f t="shared" si="5"/>
        <v>0</v>
      </c>
      <c r="G18" s="1044">
        <f t="shared" si="6"/>
        <v>5.5555555555555552E-2</v>
      </c>
      <c r="H18" s="1064">
        <f t="shared" si="13"/>
        <v>0</v>
      </c>
      <c r="I18" s="1134"/>
      <c r="J18" s="1134" t="s">
        <v>1566</v>
      </c>
      <c r="K18" s="1079" t="str">
        <f>IF(التوصية!D57+التوصية!D63+التوصية!D69+التوصية!D75&gt;=التوصية!D180,R2,R3)</f>
        <v>معكوس على الحساب البنكي</v>
      </c>
      <c r="L18" s="1042">
        <f>IF(K18=$R$2,1,0)</f>
        <v>1</v>
      </c>
      <c r="M18" s="1042">
        <v>1</v>
      </c>
      <c r="N18" s="1043">
        <f t="shared" si="7"/>
        <v>1</v>
      </c>
      <c r="O18" s="1044">
        <f t="shared" si="8"/>
        <v>8.3333333333333329E-2</v>
      </c>
      <c r="P18" s="1064">
        <f t="shared" si="9"/>
        <v>8.3333333333333329E-2</v>
      </c>
      <c r="Q18" s="1134"/>
      <c r="R18" s="1134" t="s">
        <v>1566</v>
      </c>
      <c r="S18" s="1079" t="str">
        <f>IF(التوصية!D117+التوصية!D123+التوصية!D129+التوصية!D135&gt;=التوصية!D186,R2,R3)</f>
        <v>معكوس على الحساب البنكي</v>
      </c>
      <c r="T18" s="1045">
        <f>IF(S19='بيانات للادخال'!$S$6,1,0)</f>
        <v>1</v>
      </c>
      <c r="U18" s="1042">
        <v>1</v>
      </c>
      <c r="V18" s="1043">
        <f t="shared" si="2"/>
        <v>1</v>
      </c>
      <c r="W18" s="1044">
        <f t="shared" si="3"/>
        <v>8.3333333333333329E-2</v>
      </c>
      <c r="X18" s="1064">
        <f t="shared" si="4"/>
        <v>8.3333333333333329E-2</v>
      </c>
      <c r="Y18" s="1134"/>
      <c r="Z18" s="1134" t="s">
        <v>1582</v>
      </c>
      <c r="AA18" s="1079">
        <f>التوصية!D283</f>
        <v>48</v>
      </c>
      <c r="AB18" s="1042">
        <f>IF(AA18&lt;=36,2,IF(AND(AA18&gt;36,AA18&lt;=48),1,0))</f>
        <v>1</v>
      </c>
      <c r="AC18" s="1042">
        <v>2</v>
      </c>
      <c r="AD18" s="1043">
        <f t="shared" si="10"/>
        <v>0.5</v>
      </c>
      <c r="AE18" s="1044">
        <f t="shared" si="11"/>
        <v>7.6923076923076927E-2</v>
      </c>
      <c r="AF18" s="1064">
        <f t="shared" si="12"/>
        <v>3.8461538461538464E-2</v>
      </c>
    </row>
    <row r="19" spans="1:32" ht="15.75">
      <c r="A19" s="1134"/>
      <c r="B19" s="1155" t="s">
        <v>359</v>
      </c>
      <c r="C19" s="1150">
        <f>التوصية!D174</f>
        <v>0</v>
      </c>
      <c r="D19" s="1042">
        <f>IF(C19&gt;=التوصية!D23,1,0)</f>
        <v>1</v>
      </c>
      <c r="E19" s="1042">
        <v>1</v>
      </c>
      <c r="F19" s="1043">
        <f t="shared" si="5"/>
        <v>1</v>
      </c>
      <c r="G19" s="1044">
        <f t="shared" si="6"/>
        <v>5.5555555555555552E-2</v>
      </c>
      <c r="H19" s="1064">
        <f t="shared" si="13"/>
        <v>5.5555555555555552E-2</v>
      </c>
      <c r="I19" s="1134"/>
      <c r="J19" s="1134" t="s">
        <v>1584</v>
      </c>
      <c r="K19" s="1079" t="str">
        <f>التوصية!B235</f>
        <v>لا يوجد</v>
      </c>
      <c r="L19" s="1042">
        <f>IF(K19='بيانات للادخال'!$S$6,1,0)</f>
        <v>1</v>
      </c>
      <c r="M19" s="1042">
        <v>1</v>
      </c>
      <c r="N19" s="1043">
        <f t="shared" si="7"/>
        <v>1</v>
      </c>
      <c r="O19" s="1044">
        <f t="shared" si="8"/>
        <v>8.3333333333333329E-2</v>
      </c>
      <c r="P19" s="1064">
        <f t="shared" si="9"/>
        <v>8.3333333333333329E-2</v>
      </c>
      <c r="Q19" s="1134"/>
      <c r="R19" s="1134" t="s">
        <v>1584</v>
      </c>
      <c r="S19" s="1079" t="str">
        <f>التوصية!B237</f>
        <v>لا يوجد</v>
      </c>
      <c r="T19" s="1045">
        <f>IF(S20="a",2,IF(S20="b",1,0))</f>
        <v>0</v>
      </c>
      <c r="U19" s="1042">
        <v>2</v>
      </c>
      <c r="V19" s="1043">
        <f t="shared" si="2"/>
        <v>0</v>
      </c>
      <c r="W19" s="1044">
        <f t="shared" si="3"/>
        <v>8.3333333333333329E-2</v>
      </c>
      <c r="X19" s="1064">
        <f t="shared" si="4"/>
        <v>0</v>
      </c>
      <c r="Y19" s="1134"/>
      <c r="Z19" s="1134" t="s">
        <v>1587</v>
      </c>
      <c r="AA19" s="1079">
        <f>التوصية!D284</f>
        <v>199.36258585858587</v>
      </c>
      <c r="AB19" s="1042" t="e">
        <f>IF(AA19/C18&lt;=0.3,2,IF(AND(AA19/C18&gt;0.3,AA19/C18&lt;=0.5),1,0))</f>
        <v>#DIV/0!</v>
      </c>
      <c r="AC19" s="1042">
        <v>2</v>
      </c>
      <c r="AD19" s="1043" t="e">
        <f t="shared" si="10"/>
        <v>#DIV/0!</v>
      </c>
      <c r="AE19" s="1044">
        <f t="shared" si="11"/>
        <v>7.6923076923076927E-2</v>
      </c>
      <c r="AF19" s="1064" t="e">
        <f t="shared" si="12"/>
        <v>#DIV/0!</v>
      </c>
    </row>
    <row r="20" spans="1:32" ht="15.75">
      <c r="A20" s="1134"/>
      <c r="B20" s="1155" t="s">
        <v>1566</v>
      </c>
      <c r="C20" s="1150" t="str">
        <f>IF(التوصية!D23+التوصية!D29+التوصية!D35+التوصية!D41&gt;=التوصية!D174,R2,R3)</f>
        <v>معكوس على الحساب البنكي</v>
      </c>
      <c r="D20" s="1042">
        <f>IF(C20=$R$2,1,0)</f>
        <v>1</v>
      </c>
      <c r="E20" s="1042">
        <v>1</v>
      </c>
      <c r="F20" s="1043">
        <f t="shared" si="5"/>
        <v>1</v>
      </c>
      <c r="G20" s="1044">
        <f t="shared" si="6"/>
        <v>5.5555555555555552E-2</v>
      </c>
      <c r="H20" s="1064">
        <f t="shared" si="13"/>
        <v>5.5555555555555552E-2</v>
      </c>
      <c r="I20" s="1134"/>
      <c r="J20" s="1134" t="s">
        <v>1569</v>
      </c>
      <c r="K20" s="1079">
        <f>التوصية!B206</f>
        <v>0</v>
      </c>
      <c r="L20" s="1042">
        <f>IF(K20="a",2,IF(K20="b",1,0))</f>
        <v>0</v>
      </c>
      <c r="M20" s="1042">
        <v>2</v>
      </c>
      <c r="N20" s="1043">
        <f t="shared" si="7"/>
        <v>0</v>
      </c>
      <c r="O20" s="1044">
        <f t="shared" si="8"/>
        <v>8.3333333333333329E-2</v>
      </c>
      <c r="P20" s="1064">
        <f t="shared" si="9"/>
        <v>0</v>
      </c>
      <c r="Q20" s="1134"/>
      <c r="R20" s="1134" t="s">
        <v>1569</v>
      </c>
      <c r="S20" s="1079">
        <f>التوصية!B220</f>
        <v>0</v>
      </c>
      <c r="T20" s="1045">
        <f>IF(S21=0,2,IF(S21&lt;S16,1,0))</f>
        <v>2</v>
      </c>
      <c r="U20" s="1042">
        <v>2</v>
      </c>
      <c r="V20" s="1043">
        <f t="shared" si="2"/>
        <v>1</v>
      </c>
      <c r="W20" s="1044">
        <f t="shared" si="3"/>
        <v>8.3333333333333329E-2</v>
      </c>
      <c r="X20" s="1064">
        <f t="shared" si="4"/>
        <v>8.3333333333333329E-2</v>
      </c>
      <c r="Y20" s="1134"/>
      <c r="Z20" s="1134" t="s">
        <v>1575</v>
      </c>
      <c r="AA20" s="1143">
        <f>التوصية!B285</f>
        <v>7.0000000000000007E-2</v>
      </c>
      <c r="AB20" s="1042">
        <f>IF(AA20&gt;=0.07,1,0)</f>
        <v>1</v>
      </c>
      <c r="AC20" s="1042">
        <v>1</v>
      </c>
      <c r="AD20" s="1043">
        <f t="shared" si="10"/>
        <v>1</v>
      </c>
      <c r="AE20" s="1044">
        <f t="shared" si="11"/>
        <v>7.6923076923076927E-2</v>
      </c>
      <c r="AF20" s="1064">
        <f t="shared" si="12"/>
        <v>7.6923076923076927E-2</v>
      </c>
    </row>
    <row r="21" spans="1:32" ht="15.75">
      <c r="A21" s="1134"/>
      <c r="B21" s="1155" t="s">
        <v>1567</v>
      </c>
      <c r="C21" s="1150" t="str">
        <f>IF(التوصية!D14='بيانات للادخال'!$L$3,"زبون قائم وملتزم بالسداد",IF(التوصية!D14='بيانات للادخال'!$L$4,"زبون قائم وغير ملتزم بالسداد","زبون جديد"))</f>
        <v>زبون جديد</v>
      </c>
      <c r="D21" s="1046">
        <f>IF(C21=$T$2,1,0)</f>
        <v>0</v>
      </c>
      <c r="E21" s="1042">
        <v>1</v>
      </c>
      <c r="F21" s="1043">
        <f t="shared" si="5"/>
        <v>0</v>
      </c>
      <c r="G21" s="1044">
        <f t="shared" si="6"/>
        <v>5.5555555555555552E-2</v>
      </c>
      <c r="H21" s="1064">
        <f t="shared" si="13"/>
        <v>0</v>
      </c>
      <c r="I21" s="1134"/>
      <c r="J21" s="1134" t="s">
        <v>1570</v>
      </c>
      <c r="K21" s="1079">
        <f>التوصية!B205</f>
        <v>0</v>
      </c>
      <c r="L21" s="1042">
        <f>IF(K21=0,2,IF(K21&lt;K16,1,0))</f>
        <v>2</v>
      </c>
      <c r="M21" s="1042">
        <v>2</v>
      </c>
      <c r="N21" s="1043">
        <f t="shared" si="7"/>
        <v>1</v>
      </c>
      <c r="O21" s="1044">
        <f t="shared" si="8"/>
        <v>8.3333333333333329E-2</v>
      </c>
      <c r="P21" s="1064">
        <f t="shared" si="9"/>
        <v>8.3333333333333329E-2</v>
      </c>
      <c r="Q21" s="1134"/>
      <c r="R21" s="1134" t="s">
        <v>1570</v>
      </c>
      <c r="S21" s="1079">
        <f>التوصية!B219</f>
        <v>0</v>
      </c>
      <c r="T21" s="1042" t="e">
        <f>IF(S22&lt;=0.4,2,IF(S22&lt;=0.5,1,0))</f>
        <v>#DIV/0!</v>
      </c>
      <c r="U21" s="1042">
        <v>2</v>
      </c>
      <c r="V21" s="1043" t="e">
        <f t="shared" si="2"/>
        <v>#DIV/0!</v>
      </c>
      <c r="W21" s="1044">
        <f t="shared" si="3"/>
        <v>8.3333333333333329E-2</v>
      </c>
      <c r="X21" s="1064" t="e">
        <f t="shared" si="4"/>
        <v>#DIV/0!</v>
      </c>
      <c r="Y21" s="1134"/>
      <c r="Z21" s="1134" t="s">
        <v>1576</v>
      </c>
      <c r="AA21" s="1143">
        <f>التوصية!B286</f>
        <v>7.0000000000000007E-2</v>
      </c>
      <c r="AB21" s="1042">
        <f>IF(AA21&gt;=0.07,1,0)</f>
        <v>1</v>
      </c>
      <c r="AC21" s="1042">
        <v>1</v>
      </c>
      <c r="AD21" s="1043">
        <f t="shared" si="10"/>
        <v>1</v>
      </c>
      <c r="AE21" s="1044">
        <f t="shared" si="11"/>
        <v>7.6923076923076927E-2</v>
      </c>
      <c r="AF21" s="1064">
        <f t="shared" si="12"/>
        <v>7.6923076923076927E-2</v>
      </c>
    </row>
    <row r="22" spans="1:32" ht="15.75">
      <c r="A22" s="1134"/>
      <c r="B22" s="1155" t="s">
        <v>1584</v>
      </c>
      <c r="C22" s="1150" t="str">
        <f>التوصية!B234</f>
        <v>لا يوجد</v>
      </c>
      <c r="D22" s="1042">
        <f>IF(C22='بيانات للادخال'!$S$6,1,0)</f>
        <v>1</v>
      </c>
      <c r="E22" s="1042">
        <v>1</v>
      </c>
      <c r="F22" s="1043">
        <f t="shared" si="5"/>
        <v>1</v>
      </c>
      <c r="G22" s="1044">
        <f t="shared" si="6"/>
        <v>5.5555555555555552E-2</v>
      </c>
      <c r="H22" s="1064">
        <f t="shared" si="13"/>
        <v>5.5555555555555552E-2</v>
      </c>
      <c r="I22" s="1134"/>
      <c r="J22" s="1134" t="s">
        <v>1571</v>
      </c>
      <c r="K22" s="1136" t="e">
        <f>التوصية!D292</f>
        <v>#DIV/0!</v>
      </c>
      <c r="L22" s="1042" t="e">
        <f>IF(K22&lt;=0.4,2,IF(K22&lt;=0.5,1,0))</f>
        <v>#DIV/0!</v>
      </c>
      <c r="M22" s="1042">
        <v>2</v>
      </c>
      <c r="N22" s="1043" t="e">
        <f t="shared" si="7"/>
        <v>#DIV/0!</v>
      </c>
      <c r="O22" s="1044">
        <f t="shared" si="8"/>
        <v>8.3333333333333329E-2</v>
      </c>
      <c r="P22" s="1064" t="e">
        <f t="shared" si="9"/>
        <v>#DIV/0!</v>
      </c>
      <c r="Q22" s="1134"/>
      <c r="R22" s="1134" t="s">
        <v>1571</v>
      </c>
      <c r="S22" s="1136" t="e">
        <f>التوصية!D294</f>
        <v>#DIV/0!</v>
      </c>
      <c r="T22" s="1067">
        <f>IF(التوصية!D124='بيانات للادخال'!$L$3,1,0)</f>
        <v>0</v>
      </c>
      <c r="U22" s="1067">
        <v>1</v>
      </c>
      <c r="V22" s="1068">
        <f t="shared" si="2"/>
        <v>0</v>
      </c>
      <c r="W22" s="1078">
        <f>1/COUNT(U10:U22)</f>
        <v>7.6923076923076927E-2</v>
      </c>
      <c r="X22" s="1069">
        <f t="shared" si="4"/>
        <v>0</v>
      </c>
      <c r="Y22" s="1137"/>
      <c r="Z22" s="1134" t="s">
        <v>1577</v>
      </c>
      <c r="AA22" s="1143">
        <f>التوصية!D285</f>
        <v>0.12675394945206442</v>
      </c>
      <c r="AB22" s="1042">
        <f>IF(AA22&gt;=0.12,1,0)</f>
        <v>1</v>
      </c>
      <c r="AC22" s="1042">
        <v>1</v>
      </c>
      <c r="AD22" s="1043">
        <f t="shared" si="10"/>
        <v>1</v>
      </c>
      <c r="AE22" s="1044">
        <f t="shared" si="11"/>
        <v>7.6923076923076927E-2</v>
      </c>
      <c r="AF22" s="1064">
        <f t="shared" si="12"/>
        <v>7.6923076923076927E-2</v>
      </c>
    </row>
    <row r="23" spans="1:32" ht="15.75">
      <c r="A23" s="1134"/>
      <c r="B23" s="1155" t="s">
        <v>1569</v>
      </c>
      <c r="C23" s="1150">
        <f>التوصية!B199</f>
        <v>0</v>
      </c>
      <c r="D23" s="1042">
        <f>IF(C23="a",2,IF(C23="b",1,0))</f>
        <v>0</v>
      </c>
      <c r="E23" s="1042">
        <v>2</v>
      </c>
      <c r="F23" s="1043">
        <f t="shared" si="5"/>
        <v>0</v>
      </c>
      <c r="G23" s="1044">
        <f t="shared" si="6"/>
        <v>5.5555555555555552E-2</v>
      </c>
      <c r="H23" s="1064">
        <f t="shared" si="13"/>
        <v>0</v>
      </c>
      <c r="I23" s="1137"/>
      <c r="J23" s="1137" t="s">
        <v>1619</v>
      </c>
      <c r="K23" s="1141">
        <f>التوصية!B61</f>
        <v>0</v>
      </c>
      <c r="L23" s="1042">
        <f>IF(التوصية!D64='بيانات للادخال'!$L$3,1,0)</f>
        <v>0</v>
      </c>
      <c r="M23" s="1042">
        <v>1</v>
      </c>
      <c r="N23" s="1043">
        <f t="shared" si="7"/>
        <v>0</v>
      </c>
      <c r="O23" s="1044">
        <f>1/COUNT(M11:M23)</f>
        <v>7.6923076923076927E-2</v>
      </c>
      <c r="P23" s="1064">
        <f>N23*O23</f>
        <v>0</v>
      </c>
      <c r="Q23" s="1137"/>
      <c r="R23" s="1137" t="s">
        <v>1619</v>
      </c>
      <c r="S23" s="1141">
        <f>التوصية!B121</f>
        <v>0</v>
      </c>
      <c r="T23" s="1111"/>
      <c r="U23" s="1111"/>
      <c r="V23" s="1111"/>
      <c r="W23" s="1111"/>
      <c r="X23" s="1112"/>
      <c r="Z23" s="1137" t="s">
        <v>1578</v>
      </c>
      <c r="AA23" s="1144">
        <f>التوصية!D286</f>
        <v>0.12675394945206442</v>
      </c>
      <c r="AB23" s="1067">
        <f>IF(AA23&gt;=0.12,1,0)</f>
        <v>1</v>
      </c>
      <c r="AC23" s="1067">
        <v>1</v>
      </c>
      <c r="AD23" s="1068">
        <f t="shared" si="10"/>
        <v>1</v>
      </c>
      <c r="AE23" s="1078">
        <f t="shared" si="11"/>
        <v>7.6923076923076927E-2</v>
      </c>
      <c r="AF23" s="1069">
        <f t="shared" si="12"/>
        <v>7.6923076923076927E-2</v>
      </c>
    </row>
    <row r="24" spans="1:32" ht="18.75">
      <c r="A24" s="1134"/>
      <c r="B24" s="1155" t="s">
        <v>1591</v>
      </c>
      <c r="C24" s="1150">
        <f>التوصية!B197</f>
        <v>0</v>
      </c>
      <c r="D24" s="1042">
        <f>IF(C24=0,2,IF(C24/C18&lt;=10,1,0))</f>
        <v>2</v>
      </c>
      <c r="E24" s="1042">
        <v>2</v>
      </c>
      <c r="F24" s="1043">
        <f t="shared" si="5"/>
        <v>1</v>
      </c>
      <c r="G24" s="1044">
        <f t="shared" si="6"/>
        <v>5.5555555555555552E-2</v>
      </c>
      <c r="H24" s="1064">
        <f t="shared" si="13"/>
        <v>5.5555555555555552E-2</v>
      </c>
      <c r="I24" s="648"/>
      <c r="J24" s="1370" t="str">
        <f>"الكفيل الثاني: "&amp;التوصية!B79</f>
        <v xml:space="preserve">الكفيل الثاني: </v>
      </c>
      <c r="K24" s="1371"/>
      <c r="L24" s="1111"/>
      <c r="M24" s="1111"/>
      <c r="N24" s="1111"/>
      <c r="O24" s="1111"/>
      <c r="P24" s="1112"/>
      <c r="Q24" s="1139"/>
      <c r="R24" s="1370" t="str">
        <f>"الكفيل الرابع: "&amp;التوصية!B139</f>
        <v xml:space="preserve">الكفيل الرابع: </v>
      </c>
      <c r="S24" s="1371"/>
      <c r="T24" s="1071">
        <f ca="1">IF(S25&gt;=60,0,IF(S25+(tenor/12)&lt;=60,2,IF(AND(S25&lt;60,S25+(tenor/12)&gt;=60),1)))</f>
        <v>0</v>
      </c>
      <c r="U24" s="1071">
        <v>2</v>
      </c>
      <c r="V24" s="1073">
        <f t="shared" ref="V24:V36" ca="1" si="14">T24/U24</f>
        <v>0</v>
      </c>
      <c r="W24" s="1075">
        <f t="shared" ref="W24:W35" si="15">1/COUNT($U$24:$U$35)</f>
        <v>8.3333333333333329E-2</v>
      </c>
      <c r="X24" s="1074">
        <f t="shared" ref="X24:X36" ca="1" si="16">V24*W24</f>
        <v>0</v>
      </c>
      <c r="Z24" s="1370" t="s">
        <v>1583</v>
      </c>
      <c r="AA24" s="1371"/>
      <c r="AB24" s="1071">
        <f>IF(S109&lt;&gt;0,1,0)</f>
        <v>0</v>
      </c>
      <c r="AC24" s="1071">
        <v>1</v>
      </c>
      <c r="AD24" s="1073">
        <f t="shared" si="10"/>
        <v>0</v>
      </c>
      <c r="AE24" s="1075">
        <f>1/COUNT($AC$24:$AC$26)</f>
        <v>0.33333333333333331</v>
      </c>
      <c r="AF24" s="1074">
        <f t="shared" si="12"/>
        <v>0</v>
      </c>
    </row>
    <row r="25" spans="1:32" ht="15.75">
      <c r="A25" s="1134"/>
      <c r="B25" s="1155" t="s">
        <v>1570</v>
      </c>
      <c r="C25" s="1150">
        <f>التوصية!B198</f>
        <v>0</v>
      </c>
      <c r="D25" s="1042">
        <f>IF(C25=0,2,IF(C25&lt;C18,1,0))</f>
        <v>2</v>
      </c>
      <c r="E25" s="1042">
        <v>2</v>
      </c>
      <c r="F25" s="1043">
        <f t="shared" si="5"/>
        <v>1</v>
      </c>
      <c r="G25" s="1044">
        <f t="shared" si="6"/>
        <v>5.5555555555555552E-2</v>
      </c>
      <c r="H25" s="1064">
        <f t="shared" si="13"/>
        <v>5.5555555555555552E-2</v>
      </c>
      <c r="I25" s="1138" t="s">
        <v>1572</v>
      </c>
      <c r="J25" s="1157" t="s">
        <v>395</v>
      </c>
      <c r="K25" s="1140">
        <f ca="1">التوصية!D82</f>
        <v>121.6</v>
      </c>
      <c r="L25" s="1071">
        <f ca="1">IF(K25&gt;=60,0,IF(K25+(tenor/12)&lt;=60,2,IF(AND(K25&lt;60,K25+(tenor/12)&gt;=60),1)))</f>
        <v>0</v>
      </c>
      <c r="M25" s="1071">
        <v>2</v>
      </c>
      <c r="N25" s="1073">
        <f t="shared" ref="N25:N37" ca="1" si="17">L25/M25</f>
        <v>0</v>
      </c>
      <c r="O25" s="1075">
        <f t="shared" ref="O25:O36" si="18">1/COUNT($M$25:$M$36)</f>
        <v>8.3333333333333329E-2</v>
      </c>
      <c r="P25" s="1074">
        <f t="shared" ref="P25:P37" ca="1" si="19">N25*O25</f>
        <v>0</v>
      </c>
      <c r="Q25" s="1138" t="s">
        <v>638</v>
      </c>
      <c r="R25" s="1157" t="s">
        <v>395</v>
      </c>
      <c r="S25" s="1140">
        <f ca="1">التوصية!D142</f>
        <v>121.6</v>
      </c>
      <c r="T25" s="1042" t="e">
        <f>VLOOKUP(S26,'بيانات للادخال'!$X$2:$Y$14,2,FALSE)</f>
        <v>#N/A</v>
      </c>
      <c r="U25" s="1042">
        <v>2</v>
      </c>
      <c r="V25" s="1043" t="e">
        <f t="shared" si="14"/>
        <v>#N/A</v>
      </c>
      <c r="W25" s="1044">
        <f t="shared" si="15"/>
        <v>8.3333333333333329E-2</v>
      </c>
      <c r="X25" s="1064" t="e">
        <f t="shared" si="16"/>
        <v>#N/A</v>
      </c>
      <c r="Z25" s="1372" t="e">
        <f>#REF!</f>
        <v>#REF!</v>
      </c>
      <c r="AA25" s="1373"/>
      <c r="AB25" s="1042">
        <f>IF(S110&lt;&gt;0,1,0)</f>
        <v>0</v>
      </c>
      <c r="AC25" s="1042">
        <v>1</v>
      </c>
      <c r="AD25" s="1043">
        <f t="shared" si="10"/>
        <v>0</v>
      </c>
      <c r="AE25" s="1044">
        <f>1/COUNT($AC$24:$AC$26)</f>
        <v>0.33333333333333331</v>
      </c>
      <c r="AF25" s="1064">
        <f t="shared" si="12"/>
        <v>0</v>
      </c>
    </row>
    <row r="26" spans="1:32" ht="15.75">
      <c r="A26" s="1134"/>
      <c r="B26" s="1155" t="s">
        <v>1571</v>
      </c>
      <c r="C26" s="1152" t="e">
        <f>التوصية!D291</f>
        <v>#DIV/0!</v>
      </c>
      <c r="D26" s="1042" t="e">
        <f>IF(C26&lt;=0.4,2,IF(C26&lt;=0.5,1,0))</f>
        <v>#DIV/0!</v>
      </c>
      <c r="E26" s="1042">
        <v>2</v>
      </c>
      <c r="F26" s="1043" t="e">
        <f t="shared" si="5"/>
        <v>#DIV/0!</v>
      </c>
      <c r="G26" s="1044">
        <f t="shared" si="6"/>
        <v>5.5555555555555552E-2</v>
      </c>
      <c r="H26" s="1064" t="e">
        <f>F26*G26</f>
        <v>#DIV/0!</v>
      </c>
      <c r="I26" s="1380" t="str">
        <f>IF(التوصية!B79="","HIDE",التوصية!B79)</f>
        <v>HIDE</v>
      </c>
      <c r="J26" s="1134" t="s">
        <v>211</v>
      </c>
      <c r="K26" s="1079">
        <f>التوصية!B85</f>
        <v>0</v>
      </c>
      <c r="L26" s="1042" t="e">
        <f>VLOOKUP(K26,'بيانات للادخال'!$X$2:$Y$14,2,FALSE)</f>
        <v>#N/A</v>
      </c>
      <c r="M26" s="1042">
        <v>2</v>
      </c>
      <c r="N26" s="1043" t="e">
        <f t="shared" si="17"/>
        <v>#N/A</v>
      </c>
      <c r="O26" s="1044">
        <f t="shared" si="18"/>
        <v>8.3333333333333329E-2</v>
      </c>
      <c r="P26" s="1064" t="e">
        <f t="shared" si="19"/>
        <v>#N/A</v>
      </c>
      <c r="Q26" s="1380" t="str">
        <f>IF(التوصية!B139="","HIDE",التوصية!B139)</f>
        <v>HIDE</v>
      </c>
      <c r="R26" s="1134" t="s">
        <v>211</v>
      </c>
      <c r="S26" s="1079">
        <f>التوصية!B145</f>
        <v>0</v>
      </c>
      <c r="T26" s="1042">
        <f>IF(التوصية!D148='بيانات للادخال'!$M$2,1,0)</f>
        <v>0</v>
      </c>
      <c r="U26" s="1042">
        <v>1</v>
      </c>
      <c r="V26" s="1043">
        <f t="shared" si="14"/>
        <v>0</v>
      </c>
      <c r="W26" s="1044">
        <f t="shared" si="15"/>
        <v>8.3333333333333329E-2</v>
      </c>
      <c r="X26" s="1064">
        <f t="shared" si="16"/>
        <v>0</v>
      </c>
      <c r="Y26" s="1159"/>
      <c r="Z26" s="1314"/>
      <c r="AA26" s="1316"/>
      <c r="AB26" s="1067">
        <f>IF(S111&lt;0.25,0,IF(AND(S111&gt;=0.25,S111&lt;0.5),1,IF(AND(S111&gt;=0.5,S111&lt;0.75),2,IF(AND(S111&gt;=0.75,S111&lt;1),3,IF(AND(S111&gt;=1,S111&lt;1.25),4,IF(AND(S111&gt;=1.25,S111&lt;1.5),5,IF(AND(S111&gt;=1.5,S111&lt;2),6,IF(AND(S111&gt;=2,S111&lt;2.5),7,IF(AND(S111&gt;=2.5,S111&lt;3),8,IF(AND(S111&gt;=3,S111&lt;3.5),9,IF(S111&gt;=3.5,10)))))))))))</f>
        <v>0</v>
      </c>
      <c r="AC26" s="1067">
        <v>4</v>
      </c>
      <c r="AD26" s="1068">
        <f t="shared" si="10"/>
        <v>0</v>
      </c>
      <c r="AE26" s="1078">
        <f>1/COUNT($AC$24:$AC$26)</f>
        <v>0.33333333333333331</v>
      </c>
      <c r="AF26" s="1069">
        <f t="shared" si="12"/>
        <v>0</v>
      </c>
    </row>
    <row r="27" spans="1:32" ht="15.75">
      <c r="A27" s="1134"/>
      <c r="B27" s="1155" t="s">
        <v>476</v>
      </c>
      <c r="C27" s="1153" t="str">
        <f>التوصية!B14</f>
        <v>لا</v>
      </c>
      <c r="D27" s="1042">
        <f>IF(C27='بيانات للادخال'!$L$3,1,0)</f>
        <v>0</v>
      </c>
      <c r="E27" s="1042">
        <v>1</v>
      </c>
      <c r="F27" s="1043">
        <f>D27/E27</f>
        <v>0</v>
      </c>
      <c r="G27" s="1044">
        <f t="shared" si="6"/>
        <v>5.5555555555555552E-2</v>
      </c>
      <c r="H27" s="1064">
        <f>F27*G27</f>
        <v>0</v>
      </c>
      <c r="I27" s="1381"/>
      <c r="J27" s="1134" t="s">
        <v>1597</v>
      </c>
      <c r="K27" s="1135">
        <f>التوصية!B87</f>
        <v>0</v>
      </c>
      <c r="L27" s="1042">
        <f>IF(التوصية!D88='بيانات للادخال'!$M$2,1,0)</f>
        <v>1</v>
      </c>
      <c r="M27" s="1042">
        <v>1</v>
      </c>
      <c r="N27" s="1043">
        <f t="shared" si="17"/>
        <v>1</v>
      </c>
      <c r="O27" s="1044">
        <f t="shared" si="18"/>
        <v>8.3333333333333329E-2</v>
      </c>
      <c r="P27" s="1064">
        <f t="shared" si="19"/>
        <v>8.3333333333333329E-2</v>
      </c>
      <c r="Q27" s="1381"/>
      <c r="R27" s="1134" t="s">
        <v>1597</v>
      </c>
      <c r="S27" s="1135">
        <f>التوصية!B147</f>
        <v>0</v>
      </c>
      <c r="T27" s="1042">
        <f ca="1">IF(OR(S28="-",S28&lt;0.5),0,IF(AND(S28&gt;=0.5,S28&lt;1),1,IF(AND(S28&gt;=1,S28&lt;2),2,IF(AND(S28&gt;=2,S28&lt;=5),3,IF(AND(S28&gt;5,S28&lt;10),4,IF(S28&gt;=10,5))))))</f>
        <v>5</v>
      </c>
      <c r="U27" s="1042">
        <v>3</v>
      </c>
      <c r="V27" s="1043">
        <f t="shared" ca="1" si="14"/>
        <v>1.6666666666666667</v>
      </c>
      <c r="W27" s="1044">
        <f t="shared" si="15"/>
        <v>8.3333333333333329E-2</v>
      </c>
      <c r="X27" s="1064">
        <f t="shared" ca="1" si="16"/>
        <v>0.1388888888888889</v>
      </c>
      <c r="Y27" s="1159"/>
      <c r="Z27" s="1314" t="e">
        <f>#REF!</f>
        <v>#REF!</v>
      </c>
      <c r="AA27" s="1316"/>
      <c r="AB27" s="1159"/>
      <c r="AC27" s="1159"/>
      <c r="AD27" s="1159"/>
      <c r="AE27" s="1159"/>
      <c r="AF27" s="1159"/>
    </row>
    <row r="28" spans="1:32" ht="15.75">
      <c r="A28" s="1134"/>
      <c r="B28" s="1155" t="s">
        <v>1616</v>
      </c>
      <c r="C28" s="1153" t="str">
        <f>التوصية!D14</f>
        <v>-</v>
      </c>
      <c r="D28" s="1042">
        <f>IF(C28='بيانات للادخال'!$L$3,1,0)</f>
        <v>0</v>
      </c>
      <c r="E28" s="1042">
        <v>1</v>
      </c>
      <c r="F28" s="1043">
        <f>D28/E28</f>
        <v>0</v>
      </c>
      <c r="G28" s="1044">
        <f t="shared" si="6"/>
        <v>5.5555555555555552E-2</v>
      </c>
      <c r="H28" s="1064">
        <f>F28*G28</f>
        <v>0</v>
      </c>
      <c r="I28" s="1381"/>
      <c r="J28" s="1134" t="s">
        <v>1618</v>
      </c>
      <c r="K28" s="1113">
        <f ca="1">التوصية!D86</f>
        <v>121.6</v>
      </c>
      <c r="L28" s="1042">
        <f ca="1">IF(OR(K28="-",K28&lt;0.5),0,IF(AND(K28&gt;=0.5,K28&lt;1),1,IF(AND(K28&gt;=1,K28&lt;2),2,IF(AND(K28&gt;=2,K28&lt;=5),3,IF(AND(K28&gt;5,K28&lt;10),4,IF(K28&gt;=10,5))))))</f>
        <v>5</v>
      </c>
      <c r="M28" s="1042">
        <v>3</v>
      </c>
      <c r="N28" s="1043">
        <f t="shared" ca="1" si="17"/>
        <v>1.6666666666666667</v>
      </c>
      <c r="O28" s="1044">
        <f t="shared" si="18"/>
        <v>8.3333333333333329E-2</v>
      </c>
      <c r="P28" s="1064">
        <f t="shared" ca="1" si="19"/>
        <v>0.1388888888888889</v>
      </c>
      <c r="Q28" s="1381"/>
      <c r="R28" s="1134" t="s">
        <v>1618</v>
      </c>
      <c r="S28" s="1113">
        <f ca="1">التوصية!D146</f>
        <v>121.6</v>
      </c>
      <c r="T28" s="1042">
        <f>IF(S29=$S$2,1,0)</f>
        <v>1</v>
      </c>
      <c r="U28" s="1042">
        <v>1</v>
      </c>
      <c r="V28" s="1043">
        <f t="shared" si="14"/>
        <v>1</v>
      </c>
      <c r="W28" s="1044">
        <f t="shared" si="15"/>
        <v>8.3333333333333329E-2</v>
      </c>
      <c r="X28" s="1064">
        <f t="shared" si="16"/>
        <v>8.3333333333333329E-2</v>
      </c>
      <c r="Y28" s="1159"/>
      <c r="Z28" s="1287"/>
      <c r="AA28" s="1289"/>
      <c r="AB28" s="1159"/>
      <c r="AC28" s="1159"/>
      <c r="AD28" s="1159"/>
      <c r="AE28" s="1159"/>
      <c r="AF28" s="1159"/>
    </row>
    <row r="29" spans="1:32" ht="15.75">
      <c r="A29" s="1137"/>
      <c r="B29" s="1156" t="s">
        <v>1619</v>
      </c>
      <c r="C29" s="1154">
        <f>التوصية!B27</f>
        <v>0</v>
      </c>
      <c r="D29" s="1067">
        <f>IF(التوصية!D30='بيانات للادخال'!M2,1,0)</f>
        <v>1</v>
      </c>
      <c r="E29" s="1067">
        <v>1</v>
      </c>
      <c r="F29" s="1068">
        <f>D29/E29</f>
        <v>1</v>
      </c>
      <c r="G29" s="1078">
        <f>1/COUNT($E$11:$E$29)</f>
        <v>5.2631578947368418E-2</v>
      </c>
      <c r="H29" s="1069">
        <f>F29*G29</f>
        <v>5.2631578947368418E-2</v>
      </c>
      <c r="I29" s="1381"/>
      <c r="J29" s="1134" t="s">
        <v>489</v>
      </c>
      <c r="K29" s="1079" t="str">
        <f>IF(التوصية!D88='بيانات للادخال'!M2,"معتمد",IF(التوصية!D88='بيانات للادخال'!M3,"غير معتمد"))</f>
        <v>معتمد</v>
      </c>
      <c r="L29" s="1042">
        <f>IF(K29=$S$2,1,0)</f>
        <v>1</v>
      </c>
      <c r="M29" s="1042">
        <v>1</v>
      </c>
      <c r="N29" s="1043">
        <f t="shared" si="17"/>
        <v>1</v>
      </c>
      <c r="O29" s="1044">
        <f t="shared" si="18"/>
        <v>8.3333333333333329E-2</v>
      </c>
      <c r="P29" s="1064">
        <f t="shared" si="19"/>
        <v>8.3333333333333329E-2</v>
      </c>
      <c r="Q29" s="1381"/>
      <c r="R29" s="1134" t="s">
        <v>489</v>
      </c>
      <c r="S29" s="1079" t="str">
        <f>IF(التوصية!D148='بيانات للادخال'!M23,"معتمد",IF(التوصية!D148='بيانات للادخال'!M24,"غير معتمد"))</f>
        <v>معتمد</v>
      </c>
      <c r="T29" s="1045">
        <f>IF(S30&gt;=التوصية!$D$284*2,1,0)</f>
        <v>0</v>
      </c>
      <c r="U29" s="1042">
        <v>1</v>
      </c>
      <c r="V29" s="1043">
        <f t="shared" si="14"/>
        <v>0</v>
      </c>
      <c r="W29" s="1044">
        <f t="shared" si="15"/>
        <v>8.3333333333333329E-2</v>
      </c>
      <c r="X29" s="1064">
        <f t="shared" si="16"/>
        <v>0</v>
      </c>
      <c r="Y29" s="1159"/>
      <c r="Z29" s="1314" t="e">
        <f>#REF!</f>
        <v>#REF!</v>
      </c>
      <c r="AA29" s="1316"/>
      <c r="AB29" s="1159"/>
      <c r="AC29" s="1159"/>
      <c r="AD29" s="1159"/>
      <c r="AE29" s="1159"/>
      <c r="AF29" s="1159"/>
    </row>
    <row r="30" spans="1:32">
      <c r="B30" s="1382"/>
      <c r="C30" s="1383"/>
      <c r="I30" s="1381"/>
      <c r="J30" s="1134" t="s">
        <v>1561</v>
      </c>
      <c r="K30" s="1079">
        <f>التوصية!D87+التوصية!D93+التوصية!D99+التوصية!D105</f>
        <v>0</v>
      </c>
      <c r="L30" s="1042">
        <f>IF(K30&gt;=التوصية!$D$284*2,1,0)</f>
        <v>0</v>
      </c>
      <c r="M30" s="1042">
        <v>1</v>
      </c>
      <c r="N30" s="1043">
        <f t="shared" si="17"/>
        <v>0</v>
      </c>
      <c r="O30" s="1044">
        <f t="shared" si="18"/>
        <v>8.3333333333333329E-2</v>
      </c>
      <c r="P30" s="1064">
        <f t="shared" si="19"/>
        <v>0</v>
      </c>
      <c r="Q30" s="1381"/>
      <c r="R30" s="1134" t="s">
        <v>1561</v>
      </c>
      <c r="S30" s="1079">
        <f>التوصية!D147+التوصية!D153+التوصية!D159+التوصية!D165</f>
        <v>0</v>
      </c>
      <c r="T30" s="1045">
        <f>IF(S31&gt;=التوصية!D147,1,0)</f>
        <v>1</v>
      </c>
      <c r="U30" s="1042">
        <v>1</v>
      </c>
      <c r="V30" s="1043">
        <f t="shared" si="14"/>
        <v>1</v>
      </c>
      <c r="W30" s="1044">
        <f t="shared" si="15"/>
        <v>8.3333333333333329E-2</v>
      </c>
      <c r="X30" s="1064">
        <f t="shared" si="16"/>
        <v>8.3333333333333329E-2</v>
      </c>
      <c r="Z30" s="1287"/>
      <c r="AA30" s="1289"/>
      <c r="AB30" s="1159"/>
      <c r="AC30" s="1159"/>
      <c r="AD30" s="1159"/>
      <c r="AE30" s="1159"/>
      <c r="AF30" s="1159"/>
    </row>
    <row r="31" spans="1:32" ht="15.75">
      <c r="B31" s="1327"/>
      <c r="C31" s="1328"/>
      <c r="I31" s="1134"/>
      <c r="J31" s="1134" t="s">
        <v>359</v>
      </c>
      <c r="K31" s="1079">
        <f>التوصية!D186</f>
        <v>0</v>
      </c>
      <c r="L31" s="1045">
        <f>IF(K31&gt;=التوصية!D87,1,0)</f>
        <v>1</v>
      </c>
      <c r="M31" s="1042">
        <v>1</v>
      </c>
      <c r="N31" s="1043">
        <f t="shared" si="17"/>
        <v>1</v>
      </c>
      <c r="O31" s="1044">
        <f t="shared" si="18"/>
        <v>8.3333333333333329E-2</v>
      </c>
      <c r="P31" s="1064">
        <f t="shared" si="19"/>
        <v>8.3333333333333329E-2</v>
      </c>
      <c r="Q31" s="1134"/>
      <c r="R31" s="1134" t="s">
        <v>359</v>
      </c>
      <c r="S31" s="1079">
        <f>التوصية!D192</f>
        <v>0</v>
      </c>
      <c r="T31" s="1045">
        <f>IF(S32=$R$2,1,0)</f>
        <v>1</v>
      </c>
      <c r="U31" s="1042">
        <v>1</v>
      </c>
      <c r="V31" s="1043">
        <f t="shared" si="14"/>
        <v>1</v>
      </c>
      <c r="W31" s="1044">
        <f t="shared" si="15"/>
        <v>8.3333333333333329E-2</v>
      </c>
      <c r="X31" s="1064">
        <f t="shared" si="16"/>
        <v>8.3333333333333329E-2</v>
      </c>
      <c r="Z31" s="1314" t="e">
        <f>#REF!</f>
        <v>#REF!</v>
      </c>
      <c r="AA31" s="1316"/>
    </row>
    <row r="32" spans="1:32" ht="15.75">
      <c r="B32" s="1327"/>
      <c r="C32" s="1328"/>
      <c r="I32" s="1134"/>
      <c r="J32" s="1134" t="s">
        <v>1566</v>
      </c>
      <c r="K32" s="1079" t="str">
        <f>IF(التوصية!D87+التوصية!D93+التوصية!D99+التوصية!D105&gt;=التوصية!D186,R2,R3)</f>
        <v>معكوس على الحساب البنكي</v>
      </c>
      <c r="L32" s="1042">
        <f>IF(K32=$R$2,1,0)</f>
        <v>1</v>
      </c>
      <c r="M32" s="1042">
        <v>1</v>
      </c>
      <c r="N32" s="1043">
        <f t="shared" si="17"/>
        <v>1</v>
      </c>
      <c r="O32" s="1044">
        <f t="shared" si="18"/>
        <v>8.3333333333333329E-2</v>
      </c>
      <c r="P32" s="1064">
        <f t="shared" si="19"/>
        <v>8.3333333333333329E-2</v>
      </c>
      <c r="Q32" s="1134"/>
      <c r="R32" s="1134" t="s">
        <v>1566</v>
      </c>
      <c r="S32" s="1079" t="str">
        <f>IF(التوصية!D147+التوصية!D153+التوصية!D159+التوصية!D165&gt;=التوصية!D192,R2,R3)</f>
        <v>معكوس على الحساب البنكي</v>
      </c>
      <c r="T32" s="1045">
        <f>IF(S33='بيانات للادخال'!$S$6,1,0)</f>
        <v>0</v>
      </c>
      <c r="U32" s="1042">
        <v>1</v>
      </c>
      <c r="V32" s="1043">
        <f t="shared" si="14"/>
        <v>0</v>
      </c>
      <c r="W32" s="1044">
        <f t="shared" si="15"/>
        <v>8.3333333333333329E-2</v>
      </c>
      <c r="X32" s="1064">
        <f t="shared" si="16"/>
        <v>0</v>
      </c>
      <c r="Z32" s="1287"/>
      <c r="AA32" s="1289"/>
    </row>
    <row r="33" spans="1:32" ht="15.75">
      <c r="B33" s="1327"/>
      <c r="C33" s="1328"/>
      <c r="I33" s="1134"/>
      <c r="J33" s="1134" t="s">
        <v>1584</v>
      </c>
      <c r="K33" s="1079" t="str">
        <f>التوصية!B236</f>
        <v>لا يوجد</v>
      </c>
      <c r="L33" s="1042">
        <f>IF(K33='بيانات للادخال'!$S$6,1,0)</f>
        <v>1</v>
      </c>
      <c r="M33" s="1042">
        <v>1</v>
      </c>
      <c r="N33" s="1043">
        <f t="shared" si="17"/>
        <v>1</v>
      </c>
      <c r="O33" s="1044">
        <f t="shared" si="18"/>
        <v>8.3333333333333329E-2</v>
      </c>
      <c r="P33" s="1064">
        <f t="shared" si="19"/>
        <v>8.3333333333333329E-2</v>
      </c>
      <c r="Q33" s="1134"/>
      <c r="R33" s="1134" t="s">
        <v>1584</v>
      </c>
      <c r="S33" s="1079">
        <f>التوصية!B238</f>
        <v>0</v>
      </c>
      <c r="T33" s="1045">
        <f>IF(S34="a",2,IF(S34="b",1,0))</f>
        <v>0</v>
      </c>
      <c r="U33" s="1042">
        <v>2</v>
      </c>
      <c r="V33" s="1043">
        <f t="shared" si="14"/>
        <v>0</v>
      </c>
      <c r="W33" s="1044">
        <f t="shared" si="15"/>
        <v>8.3333333333333329E-2</v>
      </c>
      <c r="X33" s="1064">
        <f t="shared" si="16"/>
        <v>0</v>
      </c>
      <c r="Z33" s="1314" t="e">
        <f>#REF!</f>
        <v>#REF!</v>
      </c>
      <c r="AA33" s="1316"/>
    </row>
    <row r="34" spans="1:32" ht="15.75">
      <c r="B34" s="1327"/>
      <c r="C34" s="1328"/>
      <c r="I34" s="1134"/>
      <c r="J34" s="1134" t="s">
        <v>1569</v>
      </c>
      <c r="K34" s="1079">
        <f>التوصية!B213</f>
        <v>0</v>
      </c>
      <c r="L34" s="1042">
        <f>IF(K34="a",2,IF(K34="b",1,0))</f>
        <v>0</v>
      </c>
      <c r="M34" s="1042">
        <v>2</v>
      </c>
      <c r="N34" s="1043">
        <f t="shared" si="17"/>
        <v>0</v>
      </c>
      <c r="O34" s="1044">
        <f t="shared" si="18"/>
        <v>8.3333333333333329E-2</v>
      </c>
      <c r="P34" s="1064">
        <f t="shared" si="19"/>
        <v>0</v>
      </c>
      <c r="Q34" s="1134"/>
      <c r="R34" s="1134" t="s">
        <v>1569</v>
      </c>
      <c r="S34" s="1079">
        <f>التوصية!B227</f>
        <v>0</v>
      </c>
      <c r="T34" s="1045">
        <f>IF(S35=0,2,IF(S35&lt;S30,1,0))</f>
        <v>2</v>
      </c>
      <c r="U34" s="1042">
        <v>2</v>
      </c>
      <c r="V34" s="1043">
        <f t="shared" si="14"/>
        <v>1</v>
      </c>
      <c r="W34" s="1044">
        <f t="shared" si="15"/>
        <v>8.3333333333333329E-2</v>
      </c>
      <c r="X34" s="1064">
        <f t="shared" si="16"/>
        <v>8.3333333333333329E-2</v>
      </c>
      <c r="Z34" s="1287"/>
      <c r="AA34" s="1289"/>
    </row>
    <row r="35" spans="1:32" ht="15.75">
      <c r="B35" s="1327"/>
      <c r="C35" s="1328"/>
      <c r="I35" s="1134"/>
      <c r="J35" s="1134" t="s">
        <v>1570</v>
      </c>
      <c r="K35" s="1079">
        <f>التوصية!B212</f>
        <v>0</v>
      </c>
      <c r="L35" s="1042">
        <f>IF(K35=0,2,IF(K35&lt;K30,1,0))</f>
        <v>2</v>
      </c>
      <c r="M35" s="1042">
        <v>2</v>
      </c>
      <c r="N35" s="1043">
        <f t="shared" si="17"/>
        <v>1</v>
      </c>
      <c r="O35" s="1044">
        <f t="shared" si="18"/>
        <v>8.3333333333333329E-2</v>
      </c>
      <c r="P35" s="1064">
        <f t="shared" si="19"/>
        <v>8.3333333333333329E-2</v>
      </c>
      <c r="Q35" s="1134"/>
      <c r="R35" s="1134" t="s">
        <v>1570</v>
      </c>
      <c r="S35" s="1079">
        <f>التوصية!B226</f>
        <v>0</v>
      </c>
      <c r="T35" s="1045" t="e">
        <f>IF(S36&lt;=0.4,2,IF(S36&lt;=0.5,1,0))</f>
        <v>#DIV/0!</v>
      </c>
      <c r="U35" s="1042">
        <v>2</v>
      </c>
      <c r="V35" s="1043" t="e">
        <f t="shared" si="14"/>
        <v>#DIV/0!</v>
      </c>
      <c r="W35" s="1044">
        <f t="shared" si="15"/>
        <v>8.3333333333333329E-2</v>
      </c>
      <c r="X35" s="1064" t="e">
        <f t="shared" si="16"/>
        <v>#DIV/0!</v>
      </c>
      <c r="Z35" s="1314" t="e">
        <f>#REF!</f>
        <v>#REF!</v>
      </c>
      <c r="AA35" s="1316"/>
    </row>
    <row r="36" spans="1:32" ht="15.75">
      <c r="B36" s="1327"/>
      <c r="C36" s="1328"/>
      <c r="I36" s="1134"/>
      <c r="J36" s="1137" t="s">
        <v>1571</v>
      </c>
      <c r="K36" s="1170" t="e">
        <f>التوصية!D293</f>
        <v>#DIV/0!</v>
      </c>
      <c r="L36" s="1067" t="e">
        <f>IF(K36&lt;=0.4,2,IF(K36&lt;=0.5,1,0))</f>
        <v>#DIV/0!</v>
      </c>
      <c r="M36" s="1067">
        <v>2</v>
      </c>
      <c r="N36" s="1068" t="e">
        <f t="shared" si="17"/>
        <v>#DIV/0!</v>
      </c>
      <c r="O36" s="1078">
        <f t="shared" si="18"/>
        <v>8.3333333333333329E-2</v>
      </c>
      <c r="P36" s="1069" t="e">
        <f t="shared" si="19"/>
        <v>#DIV/0!</v>
      </c>
      <c r="Q36" s="1137"/>
      <c r="R36" s="1137" t="s">
        <v>1571</v>
      </c>
      <c r="S36" s="1170" t="e">
        <f>التوصية!D295</f>
        <v>#DIV/0!</v>
      </c>
      <c r="T36" s="1067">
        <f>IF(التوصية!D154='بيانات للادخال'!$L$3,1,0)</f>
        <v>0</v>
      </c>
      <c r="U36" s="1067">
        <v>1</v>
      </c>
      <c r="V36" s="1068">
        <f t="shared" si="14"/>
        <v>0</v>
      </c>
      <c r="W36" s="1078">
        <f>1/COUNT(U24:U36)</f>
        <v>7.6923076923076927E-2</v>
      </c>
      <c r="X36" s="1069">
        <f t="shared" si="16"/>
        <v>0</v>
      </c>
      <c r="Z36" s="1281"/>
      <c r="AA36" s="1283"/>
    </row>
    <row r="37" spans="1:32" ht="15.75">
      <c r="B37" s="1327"/>
      <c r="C37" s="1328"/>
      <c r="I37" s="1137"/>
      <c r="J37" s="1137" t="s">
        <v>1619</v>
      </c>
      <c r="K37" s="1141">
        <f>التوصية!B91</f>
        <v>0</v>
      </c>
      <c r="L37" s="1067">
        <f>IF(التوصية!D94='بيانات للادخال'!$L$3,1,0)</f>
        <v>0</v>
      </c>
      <c r="M37" s="1067">
        <v>1</v>
      </c>
      <c r="N37" s="1068">
        <f t="shared" si="17"/>
        <v>0</v>
      </c>
      <c r="O37" s="1078">
        <f>1/COUNT(M25:M37)</f>
        <v>7.6923076923076927E-2</v>
      </c>
      <c r="P37" s="1069">
        <f t="shared" si="19"/>
        <v>0</v>
      </c>
      <c r="Q37" s="1137"/>
      <c r="R37" s="1137" t="s">
        <v>1619</v>
      </c>
      <c r="S37" s="1141">
        <f>التوصية!B151</f>
        <v>0</v>
      </c>
    </row>
    <row r="38" spans="1:32" ht="20.100000000000001" hidden="1" customHeight="1">
      <c r="A38" s="1386" t="str">
        <f>"قرار لجنة ائتمان شركة الاجارة الفلسطينية على التمويل المطلوب للزبون "&amp;التوصية!D6</f>
        <v>قرار لجنة ائتمان شركة الاجارة الفلسطينية على التمويل المطلوب للزبون 0</v>
      </c>
      <c r="B38" s="1387"/>
      <c r="C38" s="1387"/>
      <c r="D38" s="1388"/>
      <c r="E38" s="1388"/>
      <c r="F38" s="1388"/>
      <c r="G38" s="1388"/>
      <c r="H38" s="1388"/>
      <c r="I38" s="1388"/>
      <c r="J38" s="1388"/>
      <c r="K38" s="1388"/>
      <c r="L38" s="1388"/>
      <c r="M38" s="1388"/>
      <c r="N38" s="1388"/>
      <c r="O38" s="1388"/>
      <c r="P38" s="1388"/>
      <c r="Q38" s="1388"/>
      <c r="R38" s="1388"/>
      <c r="S38" s="1388"/>
      <c r="T38" s="1388"/>
      <c r="U38" s="1388"/>
      <c r="V38" s="1388"/>
      <c r="W38" s="1388"/>
      <c r="X38" s="1388"/>
      <c r="Y38" s="1388"/>
      <c r="Z38" s="1388"/>
      <c r="AA38" s="1389"/>
    </row>
    <row r="39" spans="1:32" ht="5.0999999999999996" customHeight="1" thickBot="1">
      <c r="A39" s="1172"/>
      <c r="B39" s="1173"/>
      <c r="C39" s="1173"/>
      <c r="D39" s="1173"/>
      <c r="E39" s="1173"/>
      <c r="F39" s="1173"/>
      <c r="G39" s="1173"/>
      <c r="H39" s="1173"/>
      <c r="I39" s="1173"/>
      <c r="J39" s="1173"/>
      <c r="K39" s="1173"/>
      <c r="L39" s="1173"/>
      <c r="M39" s="1173"/>
      <c r="N39" s="1173"/>
      <c r="O39" s="1173"/>
      <c r="P39" s="1173"/>
      <c r="Q39" s="1173"/>
      <c r="R39" s="1173"/>
      <c r="S39" s="1173"/>
      <c r="T39" s="1173"/>
      <c r="U39" s="1173"/>
      <c r="V39" s="1173"/>
      <c r="W39" s="1173"/>
      <c r="X39" s="1173"/>
      <c r="Y39" s="1173"/>
      <c r="Z39" s="1173"/>
      <c r="AA39" s="1173"/>
    </row>
    <row r="40" spans="1:32" ht="45" customHeight="1" thickBot="1">
      <c r="A40" s="1171"/>
      <c r="B40" s="1174" t="s">
        <v>1612</v>
      </c>
      <c r="C40" s="1384" t="s">
        <v>1547</v>
      </c>
      <c r="D40" s="1384"/>
      <c r="E40" s="1384"/>
      <c r="F40" s="1384"/>
      <c r="G40" s="1384"/>
      <c r="H40" s="1384"/>
      <c r="I40" s="1384"/>
      <c r="J40" s="1384"/>
      <c r="K40" s="1384"/>
      <c r="L40" s="1175"/>
      <c r="M40" s="1175"/>
      <c r="N40" s="1175"/>
      <c r="O40" s="1175"/>
      <c r="P40" s="1175"/>
      <c r="Q40" s="1175"/>
      <c r="R40" s="1384" t="s">
        <v>257</v>
      </c>
      <c r="S40" s="1384"/>
      <c r="T40" s="1176"/>
      <c r="U40" s="1176"/>
      <c r="V40" s="1176"/>
      <c r="W40" s="1176"/>
      <c r="X40" s="1176"/>
      <c r="Y40" s="1176"/>
      <c r="Z40" s="1384" t="s">
        <v>307</v>
      </c>
      <c r="AA40" s="1385"/>
    </row>
    <row r="41" spans="1:32" hidden="1"/>
    <row r="42" spans="1:32" s="648" customFormat="1" ht="15.75" hidden="1">
      <c r="A42" s="1377" t="s">
        <v>1620</v>
      </c>
      <c r="B42" s="1378"/>
      <c r="C42" s="1379"/>
      <c r="D42" s="1158"/>
      <c r="E42" s="317"/>
      <c r="F42" s="317"/>
      <c r="G42" s="317"/>
      <c r="H42" s="317"/>
      <c r="I42" s="1166"/>
      <c r="J42" s="1166"/>
      <c r="K42" s="1166"/>
      <c r="L42" s="1166"/>
      <c r="M42" s="1166"/>
      <c r="N42" s="1166"/>
      <c r="O42" s="1166"/>
      <c r="P42" s="1166"/>
      <c r="Y42" s="317"/>
      <c r="Z42" s="317"/>
      <c r="AA42" s="317"/>
      <c r="AB42" s="1166"/>
      <c r="AC42" s="1166"/>
      <c r="AD42" s="1166"/>
      <c r="AE42" s="1166"/>
      <c r="AF42" s="1166"/>
    </row>
    <row r="43" spans="1:32" s="648" customFormat="1" ht="15.75" hidden="1">
      <c r="A43" s="1329" t="s">
        <v>385</v>
      </c>
      <c r="B43" s="1330"/>
      <c r="C43" s="1331"/>
      <c r="D43" s="1164"/>
      <c r="E43" s="1158"/>
      <c r="F43" s="1158"/>
      <c r="G43" s="1158"/>
      <c r="H43" s="1158"/>
      <c r="I43" s="317"/>
      <c r="J43" s="317"/>
      <c r="K43" s="317"/>
      <c r="L43" s="317"/>
      <c r="M43" s="317"/>
      <c r="N43" s="317"/>
      <c r="O43" s="317"/>
      <c r="P43" s="317"/>
      <c r="Q43" s="317"/>
      <c r="R43" s="317"/>
      <c r="S43" s="317"/>
      <c r="Y43" s="1158"/>
      <c r="Z43" s="317"/>
      <c r="AA43" s="317"/>
      <c r="AB43" s="317"/>
      <c r="AC43" s="317"/>
      <c r="AD43" s="317"/>
      <c r="AE43" s="317"/>
      <c r="AF43" s="317"/>
    </row>
    <row r="44" spans="1:32" s="648" customFormat="1" ht="15.75" hidden="1">
      <c r="A44" s="1374" t="str">
        <f>IF(التوصية!$B$199='معاير الائتمان'!$B$3,"• "&amp;'معاير الائتمان'!$C$3,"")</f>
        <v/>
      </c>
      <c r="B44" s="1375"/>
      <c r="C44" s="1376"/>
      <c r="D44" s="1114"/>
      <c r="E44" s="1164"/>
      <c r="F44" s="1164"/>
      <c r="G44" s="1164"/>
      <c r="H44" s="1164"/>
      <c r="I44" s="317"/>
      <c r="J44" s="317"/>
      <c r="K44" s="317"/>
      <c r="L44" s="317"/>
      <c r="M44" s="317"/>
      <c r="N44" s="317"/>
      <c r="O44" s="317"/>
      <c r="P44" s="317"/>
      <c r="Q44" s="317"/>
      <c r="R44" s="317"/>
      <c r="S44" s="317"/>
      <c r="Y44" s="1164"/>
      <c r="Z44" s="317"/>
      <c r="AA44" s="317"/>
      <c r="AB44" s="317"/>
      <c r="AC44" s="317"/>
      <c r="AD44" s="317"/>
      <c r="AE44" s="317"/>
      <c r="AF44" s="317"/>
    </row>
    <row r="45" spans="1:32" s="648" customFormat="1" ht="15.75" hidden="1">
      <c r="A45" s="1326" t="str">
        <f>IF(التوصية!$B$199='معاير الائتمان'!$B$4,"• "&amp;'معاير الائتمان'!$C$4,"")</f>
        <v/>
      </c>
      <c r="B45" s="1327"/>
      <c r="C45" s="1328"/>
      <c r="D45" s="1114"/>
      <c r="E45" s="1114"/>
      <c r="F45" s="1114"/>
      <c r="G45" s="1114"/>
      <c r="H45" s="1114"/>
      <c r="I45" s="317"/>
      <c r="J45" s="317"/>
      <c r="K45" s="317"/>
      <c r="L45" s="317"/>
      <c r="M45" s="317"/>
      <c r="N45" s="317"/>
      <c r="O45" s="317"/>
      <c r="P45" s="317"/>
      <c r="Q45" s="317"/>
      <c r="R45" s="317"/>
      <c r="S45" s="317"/>
      <c r="Y45" s="1114"/>
      <c r="Z45" s="317"/>
      <c r="AA45" s="317"/>
      <c r="AB45" s="317"/>
      <c r="AC45" s="317"/>
      <c r="AD45" s="317"/>
      <c r="AE45" s="317"/>
      <c r="AF45" s="317"/>
    </row>
    <row r="46" spans="1:32" s="648" customFormat="1" ht="15.75" hidden="1">
      <c r="A46" s="1326" t="str">
        <f>IF(OR(التوصية!$B$234='بيانات للادخال'!$S$2,التوصية!$B$234='بيانات للادخال'!$S$3),"• "&amp;'معاير الائتمان'!$C$6,"")</f>
        <v/>
      </c>
      <c r="B46" s="1327"/>
      <c r="C46" s="1328"/>
      <c r="D46" s="1114"/>
      <c r="E46" s="1114"/>
      <c r="F46" s="1114"/>
      <c r="G46" s="1114"/>
      <c r="H46" s="1114"/>
      <c r="I46" s="317"/>
      <c r="J46" s="317"/>
      <c r="K46" s="317"/>
      <c r="L46" s="317"/>
      <c r="M46" s="317"/>
      <c r="N46" s="317"/>
      <c r="O46" s="317"/>
      <c r="P46" s="317"/>
      <c r="Q46" s="317"/>
      <c r="R46" s="317"/>
      <c r="S46" s="317"/>
      <c r="Y46" s="1114"/>
      <c r="Z46" s="317"/>
      <c r="AA46" s="317"/>
      <c r="AB46" s="317"/>
      <c r="AC46" s="317"/>
      <c r="AD46" s="317"/>
      <c r="AE46" s="317"/>
      <c r="AF46" s="317"/>
    </row>
    <row r="47" spans="1:32" s="648" customFormat="1" ht="15.75" hidden="1" customHeight="1">
      <c r="A47" s="1326" t="str">
        <f ca="1">IF(التوصية!$D$8&gt;='معاير الائتمان'!$B$5,"• "&amp;'معاير الائتمان'!$C$5,"")</f>
        <v>• تأمين على حياة الزبون حيث عمره 60 عام فاكثر</v>
      </c>
      <c r="B47" s="1327"/>
      <c r="C47" s="1328"/>
      <c r="D47" s="1114"/>
      <c r="E47" s="1114"/>
      <c r="F47" s="1114"/>
      <c r="G47" s="1114"/>
      <c r="H47" s="1114"/>
      <c r="I47" s="317"/>
      <c r="J47" s="317"/>
      <c r="K47" s="317"/>
      <c r="L47" s="317"/>
      <c r="M47" s="317"/>
      <c r="N47" s="317"/>
      <c r="O47" s="317"/>
      <c r="P47" s="317"/>
      <c r="Q47" s="317"/>
      <c r="R47" s="317"/>
      <c r="S47" s="317"/>
      <c r="Y47" s="1114"/>
      <c r="Z47" s="317"/>
      <c r="AA47" s="317"/>
      <c r="AB47" s="317"/>
      <c r="AC47" s="317"/>
      <c r="AD47" s="317"/>
      <c r="AE47" s="317"/>
      <c r="AF47" s="317"/>
    </row>
    <row r="48" spans="1:32" s="648" customFormat="1" ht="15.75" hidden="1">
      <c r="A48" s="1326" t="str">
        <f>IF(التوصية!$D$14='بيانات للادخال'!$M$3,"• "&amp;'معاير الائتمان'!$C$7,"")</f>
        <v/>
      </c>
      <c r="B48" s="1327"/>
      <c r="C48" s="1328"/>
      <c r="D48" s="1114"/>
      <c r="E48" s="1114"/>
      <c r="F48" s="1114"/>
      <c r="G48" s="1114"/>
      <c r="H48" s="1114"/>
      <c r="I48" s="317"/>
      <c r="J48" s="317"/>
      <c r="K48" s="317"/>
      <c r="L48" s="317"/>
      <c r="M48" s="317"/>
      <c r="N48" s="317"/>
      <c r="O48" s="317"/>
      <c r="P48" s="317"/>
      <c r="Q48" s="317"/>
      <c r="R48" s="317"/>
      <c r="S48" s="317"/>
      <c r="Y48" s="1114"/>
      <c r="Z48" s="317"/>
      <c r="AA48" s="317"/>
      <c r="AB48" s="317"/>
      <c r="AC48" s="317"/>
      <c r="AD48" s="317"/>
      <c r="AE48" s="317"/>
      <c r="AF48" s="317"/>
    </row>
    <row r="49" spans="1:32" s="648" customFormat="1" ht="15.75" hidden="1">
      <c r="A49" s="1326" t="str">
        <f>IF(التوصية!$D$198&gt;0,"• "&amp;'معاير الائتمان'!$C$8,"")</f>
        <v/>
      </c>
      <c r="B49" s="1327"/>
      <c r="C49" s="1328"/>
      <c r="D49" s="1114"/>
      <c r="E49" s="1114"/>
      <c r="F49" s="1114"/>
      <c r="G49" s="1114"/>
      <c r="H49" s="1114"/>
      <c r="I49" s="317"/>
      <c r="J49" s="317"/>
      <c r="K49" s="317"/>
      <c r="L49" s="317"/>
      <c r="M49" s="317"/>
      <c r="N49" s="317"/>
      <c r="O49" s="317"/>
      <c r="P49" s="317"/>
      <c r="Q49" s="317"/>
      <c r="R49" s="317"/>
      <c r="S49" s="317"/>
      <c r="Y49" s="1114"/>
      <c r="Z49" s="317"/>
      <c r="AA49" s="317"/>
      <c r="AB49" s="317"/>
      <c r="AC49" s="317"/>
      <c r="AD49" s="317"/>
      <c r="AE49" s="317"/>
      <c r="AF49" s="317"/>
    </row>
    <row r="50" spans="1:32" s="648" customFormat="1" ht="15.75" hidden="1">
      <c r="A50" s="1326" t="str">
        <f>IFERROR(IF(التوصية!$D$291&gt;'معاير الائتمان'!$B$9,"• "&amp;'معاير الائتمان'!$C$9,""),"")</f>
        <v/>
      </c>
      <c r="B50" s="1327"/>
      <c r="C50" s="1328"/>
      <c r="D50" s="1114"/>
      <c r="E50" s="1114"/>
      <c r="F50" s="1114"/>
      <c r="G50" s="1114"/>
      <c r="H50" s="1114"/>
      <c r="I50" s="317"/>
      <c r="J50" s="317"/>
      <c r="K50" s="317"/>
      <c r="L50" s="317"/>
      <c r="M50" s="317"/>
      <c r="N50" s="317"/>
      <c r="O50" s="317"/>
      <c r="P50" s="317"/>
      <c r="Q50" s="317"/>
      <c r="R50" s="317"/>
      <c r="S50" s="317"/>
      <c r="Y50" s="1114"/>
      <c r="Z50" s="317"/>
      <c r="AA50" s="317"/>
      <c r="AB50" s="317"/>
      <c r="AC50" s="317"/>
      <c r="AD50" s="317"/>
      <c r="AE50" s="317"/>
      <c r="AF50" s="317"/>
    </row>
    <row r="51" spans="1:32" s="648" customFormat="1" ht="15.75" hidden="1">
      <c r="A51" s="1326" t="str">
        <f>IF(التوصية!$B$13='بيانات للادخال'!$R$4,"• "&amp;'معاير الائتمان'!$C$10,"")</f>
        <v/>
      </c>
      <c r="B51" s="1327"/>
      <c r="C51" s="1328"/>
      <c r="D51" s="1114"/>
      <c r="E51" s="1114"/>
      <c r="F51" s="1114"/>
      <c r="G51" s="1114"/>
      <c r="H51" s="1114"/>
      <c r="I51" s="317"/>
      <c r="J51" s="317"/>
      <c r="K51" s="317"/>
      <c r="L51" s="317"/>
      <c r="M51" s="317"/>
      <c r="N51" s="317"/>
      <c r="O51" s="317"/>
      <c r="P51" s="317"/>
      <c r="Q51" s="317"/>
      <c r="R51" s="317"/>
      <c r="S51" s="317"/>
      <c r="Y51" s="1114"/>
      <c r="Z51" s="317"/>
      <c r="AA51" s="317"/>
      <c r="AB51" s="317"/>
      <c r="AC51" s="317"/>
      <c r="AD51" s="317"/>
      <c r="AE51" s="317"/>
      <c r="AF51" s="317"/>
    </row>
    <row r="52" spans="1:32" s="648" customFormat="1" ht="15.75" hidden="1">
      <c r="A52" s="1326" t="str">
        <f>IF(التوصية!$B$199='معاير الائتمان'!$B$16,"• "&amp;'معاير الائتمان'!$C$16,"")</f>
        <v/>
      </c>
      <c r="B52" s="1327"/>
      <c r="C52" s="1328"/>
      <c r="D52" s="1114"/>
      <c r="E52" s="1114"/>
      <c r="F52" s="1114"/>
      <c r="G52" s="1114"/>
      <c r="H52" s="1114"/>
      <c r="I52" s="317"/>
      <c r="J52" s="317"/>
      <c r="K52" s="317"/>
      <c r="L52" s="317"/>
      <c r="M52" s="317"/>
      <c r="N52" s="317"/>
      <c r="O52" s="317"/>
      <c r="P52" s="317"/>
      <c r="Q52" s="317"/>
      <c r="R52" s="317"/>
      <c r="S52" s="317"/>
      <c r="Y52" s="1114"/>
      <c r="Z52" s="317"/>
      <c r="AA52" s="317"/>
      <c r="AB52" s="317"/>
      <c r="AC52" s="317"/>
      <c r="AD52" s="317"/>
      <c r="AE52" s="317"/>
      <c r="AF52" s="317"/>
    </row>
    <row r="53" spans="1:32" s="648" customFormat="1" ht="15.75" hidden="1">
      <c r="A53" s="1326" t="str">
        <f>IF(التوصية!$D$23+التوصية!$D$29+التوصية!$D$35+التوصية!$D$41&gt;التوصية!$D$174*0.9,"• "&amp;'معاير الائتمان'!$B$17,"")</f>
        <v/>
      </c>
      <c r="B53" s="1327"/>
      <c r="C53" s="1328"/>
      <c r="D53" s="1114"/>
      <c r="E53" s="1114"/>
      <c r="F53" s="1114"/>
      <c r="G53" s="1114"/>
      <c r="H53" s="1114"/>
      <c r="I53" s="317"/>
      <c r="J53" s="317"/>
      <c r="K53" s="317"/>
      <c r="L53" s="317"/>
      <c r="M53" s="317"/>
      <c r="N53" s="317"/>
      <c r="O53" s="317"/>
      <c r="P53" s="317"/>
      <c r="Q53" s="317"/>
      <c r="R53" s="317"/>
      <c r="S53" s="317"/>
      <c r="Y53" s="1114"/>
      <c r="Z53" s="317"/>
      <c r="AA53" s="317"/>
      <c r="AB53" s="317"/>
      <c r="AC53" s="317"/>
      <c r="AD53" s="317"/>
      <c r="AE53" s="317"/>
      <c r="AF53" s="317"/>
    </row>
    <row r="54" spans="1:32" s="648" customFormat="1" ht="15.75" hidden="1">
      <c r="A54" s="1326" t="str">
        <f>IFERROR(IF(AND(التوصية!$D$291&gt;'معاير الائتمان'!$B$19,التوصية!$D$291&lt;'معاير الائتمان'!$B$9),"• "&amp;'معاير الائتمان'!$C$19,""),"")</f>
        <v/>
      </c>
      <c r="B54" s="1327"/>
      <c r="C54" s="1328"/>
      <c r="D54" s="1114"/>
      <c r="E54" s="1114"/>
      <c r="F54" s="1114"/>
      <c r="G54" s="1114"/>
      <c r="H54" s="1114"/>
      <c r="I54" s="317"/>
      <c r="J54" s="317"/>
      <c r="K54" s="317"/>
      <c r="L54" s="317"/>
      <c r="M54" s="317"/>
      <c r="N54" s="317"/>
      <c r="O54" s="317"/>
      <c r="P54" s="317"/>
      <c r="Q54" s="317"/>
      <c r="R54" s="317"/>
      <c r="S54" s="317"/>
      <c r="Y54" s="1114"/>
      <c r="Z54" s="317"/>
      <c r="AA54" s="317"/>
      <c r="AB54" s="317"/>
      <c r="AC54" s="317"/>
      <c r="AD54" s="317"/>
      <c r="AE54" s="317"/>
      <c r="AF54" s="317"/>
    </row>
    <row r="55" spans="1:32" s="648" customFormat="1" ht="15.75" hidden="1">
      <c r="A55" s="1326" t="str">
        <f ca="1">IF((TODAY()-التوصية!$D$21)/365&lt;1,"• "&amp;'معاير الائتمان'!$C$20,"")</f>
        <v/>
      </c>
      <c r="B55" s="1327"/>
      <c r="C55" s="1328"/>
      <c r="D55" s="1114"/>
      <c r="E55" s="1114"/>
      <c r="F55" s="1114"/>
      <c r="G55" s="1114"/>
      <c r="H55" s="1114"/>
      <c r="I55" s="317"/>
      <c r="J55" s="317"/>
      <c r="K55" s="317"/>
      <c r="L55" s="317"/>
      <c r="M55" s="317"/>
      <c r="N55" s="317"/>
      <c r="O55" s="317"/>
      <c r="P55" s="317"/>
      <c r="Q55" s="317"/>
      <c r="R55" s="317"/>
      <c r="S55" s="317"/>
      <c r="Y55" s="1114"/>
      <c r="Z55" s="317"/>
      <c r="AA55" s="317"/>
      <c r="AB55" s="317"/>
      <c r="AC55" s="317"/>
      <c r="AD55" s="317"/>
      <c r="AE55" s="317"/>
      <c r="AF55" s="317"/>
    </row>
    <row r="56" spans="1:32" s="648" customFormat="1" ht="15.75" hidden="1">
      <c r="A56" s="1326" t="str">
        <f>IF(التوصية!$B$22='معاير الائتمان'!$B$21,"• "&amp;'معاير الائتمان'!$C$21,"")</f>
        <v/>
      </c>
      <c r="B56" s="1327"/>
      <c r="C56" s="1328"/>
      <c r="D56" s="1114"/>
      <c r="E56" s="1114"/>
      <c r="F56" s="1114"/>
      <c r="G56" s="1114"/>
      <c r="H56" s="1114"/>
      <c r="I56" s="317"/>
      <c r="J56" s="317"/>
      <c r="K56" s="317"/>
      <c r="L56" s="317"/>
      <c r="M56" s="317"/>
      <c r="N56" s="317"/>
      <c r="O56" s="317"/>
      <c r="P56" s="317"/>
      <c r="Q56" s="317"/>
      <c r="R56" s="317"/>
      <c r="S56" s="317"/>
      <c r="Y56" s="1114"/>
      <c r="Z56" s="317"/>
      <c r="AA56" s="317"/>
      <c r="AB56" s="317"/>
      <c r="AC56" s="317"/>
      <c r="AD56" s="317"/>
      <c r="AE56" s="317"/>
      <c r="AF56" s="317"/>
    </row>
    <row r="57" spans="1:32" s="648" customFormat="1" ht="15.75" hidden="1">
      <c r="A57" s="1326" t="str">
        <f>IF(التوصية!$B$22='معاير الائتمان'!$B$22,"• "&amp;'معاير الائتمان'!$C$22,"")</f>
        <v/>
      </c>
      <c r="B57" s="1327"/>
      <c r="C57" s="1328"/>
      <c r="D57" s="1114"/>
      <c r="E57" s="1114"/>
      <c r="F57" s="1114"/>
      <c r="G57" s="1114"/>
      <c r="H57" s="1114"/>
      <c r="I57" s="317"/>
      <c r="J57" s="317"/>
      <c r="K57" s="317"/>
      <c r="L57" s="317"/>
      <c r="M57" s="317"/>
      <c r="N57" s="317"/>
      <c r="O57" s="317"/>
      <c r="P57" s="317"/>
      <c r="Q57" s="317"/>
      <c r="R57" s="317"/>
      <c r="S57" s="317"/>
      <c r="Y57" s="1114"/>
      <c r="Z57" s="317"/>
      <c r="AA57" s="317"/>
      <c r="AB57" s="317"/>
      <c r="AC57" s="317"/>
      <c r="AD57" s="317"/>
      <c r="AE57" s="317"/>
      <c r="AF57" s="317"/>
    </row>
    <row r="58" spans="1:32" s="648" customFormat="1" ht="15.75" hidden="1">
      <c r="A58" s="1326" t="str">
        <f>IF(التوصية!$D$13='بيانات للادخال'!$M$2,"• "&amp;'معاير الائتمان'!$C$23,"")</f>
        <v/>
      </c>
      <c r="B58" s="1327"/>
      <c r="C58" s="1328"/>
      <c r="D58" s="1114"/>
      <c r="E58" s="1114"/>
      <c r="F58" s="1114"/>
      <c r="G58" s="1114"/>
      <c r="H58" s="1114"/>
      <c r="I58" s="317"/>
      <c r="J58" s="317"/>
      <c r="K58" s="317"/>
      <c r="L58" s="317"/>
      <c r="M58" s="317"/>
      <c r="N58" s="317"/>
      <c r="O58" s="317"/>
      <c r="P58" s="317"/>
      <c r="Q58" s="317"/>
      <c r="R58" s="317"/>
      <c r="S58" s="317"/>
      <c r="Y58" s="1114"/>
      <c r="Z58" s="317"/>
      <c r="AA58" s="317"/>
      <c r="AB58" s="317"/>
      <c r="AC58" s="317"/>
      <c r="AD58" s="317"/>
      <c r="AE58" s="317"/>
      <c r="AF58" s="317"/>
    </row>
    <row r="59" spans="1:32" s="648" customFormat="1" ht="15.75" hidden="1">
      <c r="A59" s="1326" t="str">
        <f>IF(OR(التوصية!$B$9='بيانات للادخال'!$Q$3,التوصية!$B$9='بيانات للادخال'!$Q$4),"• "&amp;'معاير الائتمان'!$C$65,"")</f>
        <v/>
      </c>
      <c r="B59" s="1327"/>
      <c r="C59" s="1328"/>
      <c r="D59" s="1114"/>
      <c r="E59" s="1114"/>
      <c r="F59" s="1114"/>
      <c r="G59" s="1114"/>
      <c r="H59" s="1114"/>
      <c r="I59" s="317"/>
      <c r="J59" s="317"/>
      <c r="K59" s="317"/>
      <c r="L59" s="317"/>
      <c r="M59" s="317"/>
      <c r="N59" s="317"/>
      <c r="O59" s="317"/>
      <c r="P59" s="317"/>
      <c r="Q59" s="317"/>
      <c r="R59" s="317"/>
      <c r="S59" s="317"/>
      <c r="Y59" s="1114"/>
      <c r="Z59" s="317"/>
      <c r="AA59" s="317"/>
      <c r="AB59" s="317"/>
      <c r="AC59" s="317"/>
      <c r="AD59" s="317"/>
      <c r="AE59" s="317"/>
      <c r="AF59" s="317"/>
    </row>
    <row r="60" spans="1:32" s="648" customFormat="1" ht="18.75" hidden="1" customHeight="1">
      <c r="A60" s="1326" t="str">
        <f>'معاير الائتمان'!$C$18</f>
        <v/>
      </c>
      <c r="B60" s="1327"/>
      <c r="C60" s="1328"/>
      <c r="D60" s="1114"/>
      <c r="E60" s="1114"/>
      <c r="F60" s="1114"/>
      <c r="G60" s="1114"/>
      <c r="H60" s="1114"/>
      <c r="I60" s="317"/>
      <c r="J60" s="317"/>
      <c r="K60" s="317"/>
      <c r="L60" s="317"/>
      <c r="M60" s="317"/>
      <c r="N60" s="317"/>
      <c r="O60" s="317"/>
      <c r="P60" s="317"/>
      <c r="Q60" s="317"/>
      <c r="R60" s="317"/>
      <c r="S60" s="317"/>
      <c r="Y60" s="1114"/>
      <c r="Z60" s="317"/>
      <c r="AA60" s="317"/>
      <c r="AB60" s="317"/>
      <c r="AC60" s="317"/>
      <c r="AD60" s="317"/>
      <c r="AE60" s="317"/>
      <c r="AF60" s="317"/>
    </row>
    <row r="61" spans="1:32" s="648" customFormat="1" ht="15.75" hidden="1">
      <c r="A61" s="1332"/>
      <c r="B61" s="1333"/>
      <c r="C61" s="1334"/>
      <c r="D61" s="1114"/>
      <c r="E61" s="1114"/>
      <c r="F61" s="1114"/>
      <c r="G61" s="1114"/>
      <c r="H61" s="1114"/>
      <c r="I61" s="317"/>
      <c r="J61" s="317"/>
      <c r="K61" s="317"/>
      <c r="L61" s="317"/>
      <c r="M61" s="317"/>
      <c r="N61" s="317"/>
      <c r="O61" s="317"/>
      <c r="P61" s="317"/>
      <c r="Q61" s="317"/>
      <c r="R61" s="317"/>
      <c r="S61" s="317"/>
      <c r="Y61" s="1114"/>
      <c r="Z61" s="317"/>
      <c r="AA61" s="317"/>
      <c r="AB61" s="317"/>
      <c r="AC61" s="317"/>
      <c r="AD61" s="317"/>
      <c r="AE61" s="317"/>
      <c r="AF61" s="317"/>
    </row>
    <row r="62" spans="1:32" s="648" customFormat="1" ht="15.75" hidden="1">
      <c r="A62" s="1329" t="s">
        <v>386</v>
      </c>
      <c r="B62" s="1330"/>
      <c r="C62" s="1331"/>
      <c r="D62" s="1164"/>
      <c r="E62" s="1114"/>
      <c r="F62" s="1114"/>
      <c r="G62" s="1114"/>
      <c r="H62" s="1114"/>
      <c r="I62" s="317"/>
      <c r="J62" s="317"/>
      <c r="K62" s="317"/>
      <c r="L62" s="317"/>
      <c r="M62" s="317"/>
      <c r="N62" s="317"/>
      <c r="O62" s="317"/>
      <c r="P62" s="317"/>
      <c r="Q62" s="317"/>
      <c r="R62" s="317"/>
      <c r="S62" s="317"/>
      <c r="Y62" s="1114"/>
      <c r="Z62" s="317"/>
      <c r="AA62" s="317"/>
      <c r="AB62" s="317"/>
      <c r="AC62" s="317"/>
      <c r="AD62" s="317"/>
      <c r="AE62" s="317"/>
      <c r="AF62" s="317"/>
    </row>
    <row r="63" spans="1:32" s="648" customFormat="1" ht="15.75" hidden="1">
      <c r="A63" s="1374" t="str">
        <f>IF(التوصية!$B$206='معاير الائتمان'!$B$24,"• "&amp;'معاير الائتمان'!$C$24,"")</f>
        <v/>
      </c>
      <c r="B63" s="1375"/>
      <c r="C63" s="1376"/>
      <c r="D63" s="1114"/>
      <c r="E63" s="1164"/>
      <c r="F63" s="1164"/>
      <c r="G63" s="1164"/>
      <c r="H63" s="1164"/>
      <c r="I63" s="317"/>
      <c r="J63" s="317"/>
      <c r="K63" s="317"/>
      <c r="L63" s="317"/>
      <c r="M63" s="317"/>
      <c r="N63" s="317"/>
      <c r="O63" s="317"/>
      <c r="P63" s="317"/>
      <c r="Q63" s="317"/>
      <c r="R63" s="317"/>
      <c r="S63" s="317"/>
      <c r="Y63" s="1164"/>
      <c r="Z63" s="317"/>
      <c r="AA63" s="317"/>
      <c r="AB63" s="317"/>
      <c r="AC63" s="317"/>
      <c r="AD63" s="317"/>
      <c r="AE63" s="317"/>
      <c r="AF63" s="317"/>
    </row>
    <row r="64" spans="1:32" s="648" customFormat="1" ht="15.75" hidden="1">
      <c r="A64" s="1326" t="str">
        <f>IF(التوصية!$B$206='معاير الائتمان'!$B$25,"• "&amp;'معاير الائتمان'!$C$25,"")</f>
        <v/>
      </c>
      <c r="B64" s="1327"/>
      <c r="C64" s="1328"/>
      <c r="D64" s="1114"/>
      <c r="E64" s="1114"/>
      <c r="F64" s="1114"/>
      <c r="G64" s="1114"/>
      <c r="H64" s="1114"/>
      <c r="I64" s="317"/>
      <c r="J64" s="317"/>
      <c r="K64" s="317"/>
      <c r="L64" s="317"/>
      <c r="M64" s="317"/>
      <c r="N64" s="317"/>
      <c r="O64" s="317"/>
      <c r="P64" s="317"/>
      <c r="Q64" s="317"/>
      <c r="R64" s="317"/>
      <c r="S64" s="317"/>
      <c r="Y64" s="1114"/>
      <c r="Z64" s="317"/>
      <c r="AA64" s="317"/>
      <c r="AB64" s="317"/>
      <c r="AC64" s="317"/>
      <c r="AD64" s="317"/>
      <c r="AE64" s="317"/>
      <c r="AF64" s="317"/>
    </row>
    <row r="65" spans="1:32" s="648" customFormat="1" ht="15.75" hidden="1">
      <c r="A65" s="1326" t="str">
        <f>IF(التوصية!$B$213='معاير الائتمان'!$B$26,"• "&amp;'معاير الائتمان'!$C$26,"")</f>
        <v/>
      </c>
      <c r="B65" s="1327"/>
      <c r="C65" s="1328"/>
      <c r="D65" s="1114"/>
      <c r="E65" s="1114"/>
      <c r="F65" s="1114"/>
      <c r="G65" s="1114"/>
      <c r="H65" s="1114"/>
      <c r="I65" s="317"/>
      <c r="J65" s="317"/>
      <c r="K65" s="317"/>
      <c r="L65" s="317"/>
      <c r="M65" s="317"/>
      <c r="N65" s="317"/>
      <c r="O65" s="317"/>
      <c r="P65" s="317"/>
      <c r="Q65" s="317"/>
      <c r="R65" s="317"/>
      <c r="S65" s="317"/>
      <c r="Y65" s="1114"/>
      <c r="Z65" s="317"/>
      <c r="AA65" s="317"/>
      <c r="AB65" s="317"/>
      <c r="AC65" s="317"/>
      <c r="AD65" s="317"/>
      <c r="AE65" s="317"/>
      <c r="AF65" s="317"/>
    </row>
    <row r="66" spans="1:32" s="648" customFormat="1" ht="15.75" hidden="1">
      <c r="A66" s="1326" t="str">
        <f>IF(التوصية!$B$213='معاير الائتمان'!$B$27,"• "&amp;'معاير الائتمان'!$C$27,"")</f>
        <v/>
      </c>
      <c r="B66" s="1327"/>
      <c r="C66" s="1328"/>
      <c r="D66" s="1114"/>
      <c r="E66" s="1114"/>
      <c r="F66" s="1114"/>
      <c r="G66" s="1114"/>
      <c r="H66" s="1114"/>
      <c r="I66" s="317"/>
      <c r="J66" s="317"/>
      <c r="K66" s="317"/>
      <c r="L66" s="317"/>
      <c r="M66" s="317"/>
      <c r="N66" s="317"/>
      <c r="O66" s="317"/>
      <c r="P66" s="317"/>
      <c r="Q66" s="317"/>
      <c r="R66" s="317"/>
      <c r="S66" s="317"/>
      <c r="Y66" s="1114"/>
      <c r="Z66" s="317"/>
      <c r="AA66" s="317"/>
      <c r="AB66" s="317"/>
      <c r="AC66" s="317"/>
      <c r="AD66" s="317"/>
      <c r="AE66" s="317"/>
      <c r="AF66" s="317"/>
    </row>
    <row r="67" spans="1:32" s="648" customFormat="1" ht="15.75" hidden="1">
      <c r="A67" s="1326" t="str">
        <f>IF(التوصية!$B$220='معاير الائتمان'!$B$28,"• "&amp;'معاير الائتمان'!$C$28,"")</f>
        <v/>
      </c>
      <c r="B67" s="1327"/>
      <c r="C67" s="1328"/>
      <c r="D67" s="1114"/>
      <c r="E67" s="1114"/>
      <c r="F67" s="1114"/>
      <c r="G67" s="1114"/>
      <c r="H67" s="1114"/>
      <c r="I67" s="317"/>
      <c r="J67" s="317"/>
      <c r="K67" s="317"/>
      <c r="L67" s="317"/>
      <c r="M67" s="317"/>
      <c r="N67" s="317"/>
      <c r="O67" s="317"/>
      <c r="P67" s="317"/>
      <c r="Q67" s="317"/>
      <c r="R67" s="317"/>
      <c r="S67" s="317"/>
      <c r="Y67" s="1114"/>
      <c r="Z67" s="317"/>
      <c r="AA67" s="317"/>
      <c r="AB67" s="317"/>
      <c r="AC67" s="317"/>
      <c r="AD67" s="317"/>
      <c r="AE67" s="317"/>
      <c r="AF67" s="317"/>
    </row>
    <row r="68" spans="1:32" s="648" customFormat="1" ht="15.75" hidden="1">
      <c r="A68" s="1326" t="str">
        <f>IF(التوصية!$B$220='معاير الائتمان'!$B$29,"• "&amp;'معاير الائتمان'!$C$29,"")</f>
        <v/>
      </c>
      <c r="B68" s="1327"/>
      <c r="C68" s="1328"/>
      <c r="D68" s="1114"/>
      <c r="E68" s="1114"/>
      <c r="F68" s="1114"/>
      <c r="G68" s="1114"/>
      <c r="H68" s="1114"/>
      <c r="I68" s="317"/>
      <c r="J68" s="317"/>
      <c r="K68" s="317"/>
      <c r="L68" s="317"/>
      <c r="M68" s="317"/>
      <c r="N68" s="317"/>
      <c r="O68" s="317"/>
      <c r="P68" s="317"/>
      <c r="Q68" s="317"/>
      <c r="R68" s="317"/>
      <c r="S68" s="317"/>
      <c r="Y68" s="1114"/>
      <c r="Z68" s="317"/>
      <c r="AA68" s="317"/>
      <c r="AB68" s="317"/>
      <c r="AC68" s="317"/>
      <c r="AD68" s="317"/>
      <c r="AE68" s="317"/>
      <c r="AF68" s="317"/>
    </row>
    <row r="69" spans="1:32" s="648" customFormat="1" ht="15.75" hidden="1">
      <c r="A69" s="1326" t="str">
        <f>IF(التوصية!$B$227='معاير الائتمان'!$B$30,"• "&amp;'معاير الائتمان'!$C$30,"")</f>
        <v/>
      </c>
      <c r="B69" s="1327"/>
      <c r="C69" s="1328"/>
      <c r="D69" s="1114"/>
      <c r="E69" s="1114"/>
      <c r="F69" s="1114"/>
      <c r="G69" s="1114"/>
      <c r="H69" s="1114"/>
      <c r="I69" s="317"/>
      <c r="J69" s="317"/>
      <c r="K69" s="317"/>
      <c r="L69" s="317"/>
      <c r="M69" s="317"/>
      <c r="N69" s="317"/>
      <c r="O69" s="317"/>
      <c r="P69" s="317"/>
      <c r="Q69" s="317"/>
      <c r="R69" s="317"/>
      <c r="S69" s="317"/>
      <c r="Y69" s="1114"/>
      <c r="Z69" s="317"/>
      <c r="AA69" s="317"/>
      <c r="AB69" s="317"/>
      <c r="AC69" s="317"/>
      <c r="AD69" s="317"/>
      <c r="AE69" s="317"/>
      <c r="AF69" s="317"/>
    </row>
    <row r="70" spans="1:32" s="648" customFormat="1" ht="15.75" hidden="1">
      <c r="A70" s="1326" t="str">
        <f>IF(التوصية!$B$227='معاير الائتمان'!$B$31,"• "&amp;'معاير الائتمان'!$C$31,"")</f>
        <v/>
      </c>
      <c r="B70" s="1327"/>
      <c r="C70" s="1328"/>
      <c r="D70" s="1114"/>
      <c r="E70" s="1114"/>
      <c r="F70" s="1114"/>
      <c r="G70" s="1114"/>
      <c r="H70" s="1114"/>
      <c r="I70" s="317"/>
      <c r="J70" s="317"/>
      <c r="K70" s="317"/>
      <c r="L70" s="317"/>
      <c r="M70" s="317"/>
      <c r="N70" s="317"/>
      <c r="O70" s="317"/>
      <c r="P70" s="317"/>
      <c r="Q70" s="317"/>
      <c r="R70" s="317"/>
      <c r="S70" s="317"/>
      <c r="Y70" s="1114"/>
      <c r="Z70" s="317"/>
      <c r="AA70" s="317"/>
      <c r="AB70" s="317"/>
      <c r="AC70" s="317"/>
      <c r="AD70" s="317"/>
      <c r="AE70" s="317"/>
      <c r="AF70" s="317"/>
    </row>
    <row r="71" spans="1:32" s="648" customFormat="1" ht="15.75" hidden="1">
      <c r="A71" s="1326" t="str">
        <f>IF(OR(التوصية!$B235='بيانات للادخال'!$S$2,التوصية!$B235='بيانات للادخال'!$S$3,التوصية!$B235='بيانات للادخال'!$S$4,التوصية!$B235='بيانات للادخال'!$S$5),'معاير الائتمان'!$C32,"")</f>
        <v/>
      </c>
      <c r="B71" s="1327"/>
      <c r="C71" s="1328"/>
      <c r="D71" s="1114"/>
      <c r="E71" s="1114"/>
      <c r="F71" s="1114"/>
      <c r="G71" s="1114"/>
      <c r="H71" s="1114"/>
      <c r="I71" s="317"/>
      <c r="J71" s="317"/>
      <c r="K71" s="317"/>
      <c r="L71" s="317"/>
      <c r="M71" s="317"/>
      <c r="N71" s="317"/>
      <c r="O71" s="317"/>
      <c r="P71" s="317"/>
      <c r="Q71" s="317"/>
      <c r="R71" s="317"/>
      <c r="S71" s="317"/>
      <c r="Y71" s="1114"/>
      <c r="Z71" s="317"/>
      <c r="AA71" s="317"/>
      <c r="AB71" s="317"/>
      <c r="AC71" s="317"/>
      <c r="AD71" s="317"/>
      <c r="AE71" s="317"/>
      <c r="AF71" s="317"/>
    </row>
    <row r="72" spans="1:32" s="648" customFormat="1" ht="15.75" hidden="1">
      <c r="A72" s="1326" t="str">
        <f>IF(OR(التوصية!$B236='بيانات للادخال'!$S$2,التوصية!$B236='بيانات للادخال'!$S$3,التوصية!$B236='بيانات للادخال'!$S$4,التوصية!$B236='بيانات للادخال'!$S$5),'معاير الائتمان'!$C33,"")</f>
        <v/>
      </c>
      <c r="B72" s="1327"/>
      <c r="C72" s="1328"/>
      <c r="D72" s="1114"/>
      <c r="E72" s="1114"/>
      <c r="F72" s="1114"/>
      <c r="G72" s="1114"/>
      <c r="H72" s="1114"/>
      <c r="I72" s="317"/>
      <c r="J72" s="317"/>
      <c r="K72" s="317"/>
      <c r="L72" s="317"/>
      <c r="M72" s="317"/>
      <c r="N72" s="317"/>
      <c r="O72" s="317"/>
      <c r="P72" s="317"/>
      <c r="Q72" s="317"/>
      <c r="R72" s="317"/>
      <c r="S72" s="317"/>
      <c r="Y72" s="1114"/>
      <c r="Z72" s="317"/>
      <c r="AA72" s="317"/>
      <c r="AB72" s="317"/>
      <c r="AC72" s="317"/>
      <c r="AD72" s="317"/>
      <c r="AE72" s="317"/>
      <c r="AF72" s="317"/>
    </row>
    <row r="73" spans="1:32" s="648" customFormat="1" ht="15.75" hidden="1">
      <c r="A73" s="1326" t="str">
        <f>IF(OR(التوصية!$B237='بيانات للادخال'!$S$2,التوصية!$B237='بيانات للادخال'!$S$3,التوصية!$B237='بيانات للادخال'!$S$4,التوصية!$B237='بيانات للادخال'!$S$5),'معاير الائتمان'!$C34,"")</f>
        <v/>
      </c>
      <c r="B73" s="1327"/>
      <c r="C73" s="1328"/>
      <c r="D73" s="1114"/>
      <c r="E73" s="1114"/>
      <c r="F73" s="1114"/>
      <c r="G73" s="1114"/>
      <c r="H73" s="1114"/>
      <c r="I73" s="317"/>
      <c r="J73" s="317"/>
      <c r="K73" s="317"/>
      <c r="L73" s="317"/>
      <c r="M73" s="317"/>
      <c r="N73" s="317"/>
      <c r="O73" s="317"/>
      <c r="P73" s="317"/>
      <c r="Q73" s="317"/>
      <c r="R73" s="317"/>
      <c r="S73" s="317"/>
      <c r="Y73" s="1114"/>
      <c r="Z73" s="317"/>
      <c r="AA73" s="317"/>
      <c r="AB73" s="317"/>
      <c r="AC73" s="317"/>
      <c r="AD73" s="317"/>
      <c r="AE73" s="317"/>
      <c r="AF73" s="317"/>
    </row>
    <row r="74" spans="1:32" s="648" customFormat="1" ht="15.75" hidden="1">
      <c r="A74" s="1326" t="str">
        <f>IF(OR(التوصية!$B238='بيانات للادخال'!$S$2,التوصية!$B238='بيانات للادخال'!$S$3,التوصية!$B238='بيانات للادخال'!$S$4,التوصية!$B238='بيانات للادخال'!$S$5),'معاير الائتمان'!$C35,"")</f>
        <v/>
      </c>
      <c r="B74" s="1327"/>
      <c r="C74" s="1328"/>
      <c r="D74" s="1114"/>
      <c r="E74" s="1114"/>
      <c r="F74" s="1114"/>
      <c r="G74" s="1114"/>
      <c r="H74" s="1114"/>
      <c r="I74" s="317"/>
      <c r="J74" s="317"/>
      <c r="K74" s="317"/>
      <c r="L74" s="317"/>
      <c r="M74" s="317"/>
      <c r="N74" s="317"/>
      <c r="O74" s="317"/>
      <c r="P74" s="317"/>
      <c r="Q74" s="317"/>
      <c r="R74" s="317"/>
      <c r="S74" s="317"/>
      <c r="Y74" s="1114"/>
      <c r="Z74" s="317"/>
      <c r="AA74" s="317"/>
      <c r="AB74" s="317"/>
      <c r="AC74" s="317"/>
      <c r="AD74" s="317"/>
      <c r="AE74" s="317"/>
      <c r="AF74" s="317"/>
    </row>
    <row r="75" spans="1:32" s="648" customFormat="1" ht="15.75" hidden="1">
      <c r="A75" s="1326" t="str">
        <f ca="1">'معاير الائتمان'!C36</f>
        <v xml:space="preserve">• استبدال الكفيل  (في حال عدم وجود كفيل غيره) حيث عمره 60 عام فاكثر </v>
      </c>
      <c r="B75" s="1327"/>
      <c r="C75" s="1328"/>
      <c r="D75" s="1115"/>
      <c r="E75" s="1114"/>
      <c r="F75" s="1114"/>
      <c r="G75" s="1114"/>
      <c r="H75" s="1114"/>
      <c r="I75" s="317"/>
      <c r="J75" s="317"/>
      <c r="K75" s="317"/>
      <c r="L75" s="317"/>
      <c r="M75" s="317"/>
      <c r="N75" s="317"/>
      <c r="O75" s="317"/>
      <c r="P75" s="317"/>
      <c r="Q75" s="317"/>
      <c r="R75" s="317"/>
      <c r="S75" s="317"/>
      <c r="Y75" s="1114"/>
      <c r="Z75" s="317"/>
      <c r="AA75" s="317"/>
      <c r="AB75" s="317"/>
      <c r="AC75" s="317"/>
      <c r="AD75" s="317"/>
      <c r="AE75" s="317"/>
      <c r="AF75" s="317"/>
    </row>
    <row r="76" spans="1:32" s="648" customFormat="1" ht="15.75" hidden="1">
      <c r="A76" s="1326" t="str">
        <f ca="1">'معاير الائتمان'!C37</f>
        <v xml:space="preserve">• استبدال الكفيل  (في حال عدم وجود كفيل غيره) حيث عمره 60 عام فاكثر </v>
      </c>
      <c r="B76" s="1327"/>
      <c r="C76" s="1328"/>
      <c r="D76" s="1115"/>
      <c r="E76" s="1115"/>
      <c r="F76" s="1115"/>
      <c r="G76" s="1115"/>
      <c r="H76" s="1115"/>
      <c r="I76" s="317"/>
      <c r="J76" s="317"/>
      <c r="K76" s="317"/>
      <c r="L76" s="317"/>
      <c r="M76" s="317"/>
      <c r="N76" s="317"/>
      <c r="O76" s="317"/>
      <c r="P76" s="317"/>
      <c r="Q76" s="317"/>
      <c r="R76" s="317"/>
      <c r="S76" s="317"/>
      <c r="Y76" s="1115"/>
      <c r="Z76" s="317"/>
      <c r="AA76" s="317"/>
      <c r="AB76" s="317"/>
      <c r="AC76" s="317"/>
      <c r="AD76" s="317"/>
      <c r="AE76" s="317"/>
      <c r="AF76" s="317"/>
    </row>
    <row r="77" spans="1:32" s="648" customFormat="1" ht="15.75" hidden="1">
      <c r="A77" s="1326" t="str">
        <f ca="1">'معاير الائتمان'!C38</f>
        <v xml:space="preserve">• استبدال الكفيل  (في حال عدم وجود كفيل غيره) حيث عمره 60 عام فاكثر </v>
      </c>
      <c r="B77" s="1327"/>
      <c r="C77" s="1328"/>
      <c r="D77" s="1115"/>
      <c r="E77" s="1115"/>
      <c r="F77" s="1115"/>
      <c r="G77" s="1115"/>
      <c r="H77" s="1115"/>
      <c r="I77" s="317"/>
      <c r="J77" s="317"/>
      <c r="K77" s="317"/>
      <c r="L77" s="317"/>
      <c r="M77" s="317"/>
      <c r="N77" s="317"/>
      <c r="O77" s="317"/>
      <c r="P77" s="317"/>
      <c r="Q77" s="317"/>
      <c r="R77" s="317"/>
      <c r="S77" s="317"/>
      <c r="Y77" s="1115"/>
      <c r="Z77" s="317"/>
      <c r="AA77" s="317"/>
      <c r="AB77" s="317"/>
      <c r="AC77" s="317"/>
      <c r="AD77" s="317"/>
      <c r="AE77" s="317"/>
      <c r="AF77" s="317"/>
    </row>
    <row r="78" spans="1:32" s="648" customFormat="1" ht="15.75" hidden="1">
      <c r="A78" s="1326" t="str">
        <f ca="1">'معاير الائتمان'!C39</f>
        <v xml:space="preserve">• استبدال الكفيل  (في حال عدم وجود كفيل غيره) حيث عمره 60 عام فاكثر </v>
      </c>
      <c r="B78" s="1327"/>
      <c r="C78" s="1328"/>
      <c r="D78" s="1115"/>
      <c r="E78" s="1115"/>
      <c r="F78" s="1115"/>
      <c r="G78" s="1115"/>
      <c r="H78" s="1115"/>
      <c r="I78" s="317"/>
      <c r="J78" s="317"/>
      <c r="K78" s="317"/>
      <c r="L78" s="317"/>
      <c r="M78" s="317"/>
      <c r="N78" s="317"/>
      <c r="O78" s="317"/>
      <c r="P78" s="317"/>
      <c r="Q78" s="317"/>
      <c r="R78" s="317"/>
      <c r="S78" s="317"/>
      <c r="Y78" s="1115"/>
      <c r="Z78" s="317"/>
      <c r="AA78" s="317"/>
      <c r="AB78" s="317"/>
      <c r="AC78" s="317"/>
      <c r="AD78" s="317"/>
      <c r="AE78" s="317"/>
      <c r="AF78" s="317"/>
    </row>
    <row r="79" spans="1:32" s="648" customFormat="1" ht="15.75" hidden="1">
      <c r="A79" s="1332"/>
      <c r="B79" s="1333"/>
      <c r="C79" s="1334"/>
      <c r="D79" s="1115"/>
      <c r="E79" s="1115"/>
      <c r="F79" s="1115"/>
      <c r="G79" s="1115"/>
      <c r="H79" s="1115"/>
      <c r="I79" s="317"/>
      <c r="J79" s="317"/>
      <c r="K79" s="317"/>
      <c r="L79" s="317"/>
      <c r="M79" s="317"/>
      <c r="N79" s="317"/>
      <c r="O79" s="317"/>
      <c r="P79" s="317"/>
      <c r="Q79" s="317"/>
      <c r="R79" s="317"/>
      <c r="S79" s="317"/>
      <c r="Y79" s="1115"/>
      <c r="Z79" s="317"/>
      <c r="AA79" s="317"/>
      <c r="AB79" s="317"/>
      <c r="AC79" s="317"/>
      <c r="AD79" s="317"/>
      <c r="AE79" s="317"/>
      <c r="AF79" s="317"/>
    </row>
    <row r="80" spans="1:32" s="648" customFormat="1" ht="15.75" hidden="1">
      <c r="A80" s="1329" t="s">
        <v>390</v>
      </c>
      <c r="B80" s="1330"/>
      <c r="C80" s="1331"/>
      <c r="D80" s="1164"/>
      <c r="E80" s="1115"/>
      <c r="F80" s="1115"/>
      <c r="G80" s="1115"/>
      <c r="H80" s="1115"/>
      <c r="I80" s="317"/>
      <c r="J80" s="317"/>
      <c r="K80" s="317"/>
      <c r="L80" s="317"/>
      <c r="M80" s="317"/>
      <c r="N80" s="317"/>
      <c r="O80" s="317"/>
      <c r="P80" s="317"/>
      <c r="Q80" s="317"/>
      <c r="R80" s="317"/>
      <c r="S80" s="317"/>
      <c r="Y80" s="1115"/>
      <c r="Z80" s="317"/>
      <c r="AA80" s="317"/>
      <c r="AB80" s="317"/>
      <c r="AC80" s="317"/>
      <c r="AD80" s="317"/>
      <c r="AE80" s="317"/>
      <c r="AF80" s="317"/>
    </row>
    <row r="81" spans="1:32" s="648" customFormat="1" ht="15.75" hidden="1">
      <c r="A81" s="1374" t="str">
        <f>IF(التوصية!$B$246='معاير الائتمان'!$B$40,'معاير الائتمان'!C40,"")</f>
        <v/>
      </c>
      <c r="B81" s="1375"/>
      <c r="C81" s="1376"/>
      <c r="D81" s="1114"/>
      <c r="E81" s="1164"/>
      <c r="F81" s="1164"/>
      <c r="G81" s="1164"/>
      <c r="H81" s="1164"/>
      <c r="I81" s="317"/>
      <c r="J81" s="317"/>
      <c r="K81" s="317"/>
      <c r="L81" s="317"/>
      <c r="M81" s="317"/>
      <c r="N81" s="317"/>
      <c r="O81" s="317"/>
      <c r="P81" s="317"/>
      <c r="Q81" s="317"/>
      <c r="R81" s="317"/>
      <c r="S81" s="317"/>
      <c r="Y81" s="1164"/>
      <c r="Z81" s="317"/>
      <c r="AA81" s="317"/>
      <c r="AB81" s="317"/>
      <c r="AC81" s="317"/>
      <c r="AD81" s="317"/>
      <c r="AE81" s="317"/>
      <c r="AF81" s="317"/>
    </row>
    <row r="82" spans="1:32" s="648" customFormat="1" ht="15.75" hidden="1">
      <c r="A82" s="1326" t="str">
        <f>IF(التوصية!$D$245='بيانات للادخال'!$M$2,"• يوجد اتفاقية إعادة الشراء من المورد","")</f>
        <v/>
      </c>
      <c r="B82" s="1327"/>
      <c r="C82" s="1328"/>
      <c r="D82" s="1114"/>
      <c r="E82" s="1114"/>
      <c r="F82" s="1114"/>
      <c r="G82" s="1114"/>
      <c r="H82" s="1114"/>
      <c r="I82" s="317"/>
      <c r="J82" s="317"/>
      <c r="K82" s="317"/>
      <c r="L82" s="317"/>
      <c r="M82" s="317"/>
      <c r="N82" s="317"/>
      <c r="O82" s="317"/>
      <c r="P82" s="317"/>
      <c r="Q82" s="317"/>
      <c r="R82" s="317"/>
      <c r="S82" s="317"/>
      <c r="Y82" s="1114"/>
      <c r="Z82" s="317"/>
      <c r="AA82" s="317"/>
      <c r="AB82" s="317"/>
      <c r="AC82" s="317"/>
      <c r="AD82" s="317"/>
      <c r="AE82" s="317"/>
      <c r="AF82" s="317"/>
    </row>
    <row r="83" spans="1:32" s="648" customFormat="1" ht="15.75" hidden="1">
      <c r="A83" s="1332"/>
      <c r="B83" s="1333"/>
      <c r="C83" s="1334"/>
      <c r="D83" s="1114"/>
      <c r="E83" s="1114"/>
      <c r="F83" s="1114"/>
      <c r="G83" s="1114"/>
      <c r="H83" s="1114"/>
      <c r="I83" s="317"/>
      <c r="J83" s="317"/>
      <c r="K83" s="317"/>
      <c r="L83" s="317"/>
      <c r="M83" s="317"/>
      <c r="N83" s="317"/>
      <c r="O83" s="317"/>
      <c r="P83" s="317"/>
      <c r="Q83" s="317"/>
      <c r="R83" s="317"/>
      <c r="S83" s="317"/>
      <c r="Y83" s="1114"/>
      <c r="Z83" s="317"/>
      <c r="AA83" s="317"/>
      <c r="AB83" s="317"/>
      <c r="AC83" s="317"/>
      <c r="AD83" s="317"/>
      <c r="AE83" s="317"/>
      <c r="AF83" s="317"/>
    </row>
    <row r="84" spans="1:32" s="648" customFormat="1" ht="15.75" hidden="1">
      <c r="A84" s="1329" t="s">
        <v>186</v>
      </c>
      <c r="B84" s="1330"/>
      <c r="C84" s="1331"/>
      <c r="D84" s="1164"/>
      <c r="E84" s="1114"/>
      <c r="F84" s="1114"/>
      <c r="G84" s="1114"/>
      <c r="H84" s="1114"/>
      <c r="I84" s="317"/>
      <c r="J84" s="317"/>
      <c r="K84" s="317"/>
      <c r="L84" s="317"/>
      <c r="M84" s="317"/>
      <c r="N84" s="317"/>
      <c r="O84" s="317"/>
      <c r="P84" s="317"/>
      <c r="Q84" s="317"/>
      <c r="R84" s="317"/>
      <c r="S84" s="317"/>
      <c r="Y84" s="1114"/>
      <c r="Z84" s="317"/>
      <c r="AA84" s="317"/>
      <c r="AB84" s="317"/>
      <c r="AC84" s="317"/>
      <c r="AD84" s="317"/>
      <c r="AE84" s="317"/>
      <c r="AF84" s="317"/>
    </row>
    <row r="85" spans="1:32" s="648" customFormat="1" ht="15.75" hidden="1">
      <c r="A85" s="1374" t="str">
        <f>IF(OR(التوصية!$B$244='بيانات للادخال'!$AF$3,التوصية!$B$244='بيانات للادخال'!$AF$4,التوصية!$B$244='بيانات للادخال'!$AF$5,التوصية!$B$244='بيانات للادخال'!$AF$6,التوصية!$B$244='بيانات للادخال'!$AF$7,التوصية!$B$244='بيانات للادخال'!$AF$8,التوصية!$B$244='بيانات للادخال'!$AF$10,التوصية!$B$244='بيانات للادخال'!$AF$11,التوصية!$B$244='بيانات للادخال'!$AF$12),"• "&amp;'معاير الائتمان'!$C$11,"")</f>
        <v/>
      </c>
      <c r="B85" s="1375"/>
      <c r="C85" s="1376"/>
      <c r="D85" s="1114"/>
      <c r="E85" s="1164"/>
      <c r="F85" s="1164"/>
      <c r="G85" s="1164"/>
      <c r="H85" s="1164"/>
      <c r="I85" s="317"/>
      <c r="J85" s="317"/>
      <c r="K85" s="317"/>
      <c r="L85" s="317"/>
      <c r="M85" s="317"/>
      <c r="N85" s="317"/>
      <c r="O85" s="317"/>
      <c r="P85" s="317"/>
      <c r="Q85" s="317"/>
      <c r="R85" s="317"/>
      <c r="S85" s="317"/>
      <c r="Y85" s="1164"/>
      <c r="Z85" s="317"/>
      <c r="AA85" s="317"/>
      <c r="AB85" s="317"/>
      <c r="AC85" s="317"/>
      <c r="AD85" s="317"/>
      <c r="AE85" s="317"/>
      <c r="AF85" s="317"/>
    </row>
    <row r="86" spans="1:32" s="648" customFormat="1" ht="15.75" hidden="1">
      <c r="A86" s="1326" t="str">
        <f>IF(التوصية!$D$244='بيانات للادخال'!$J$14,"• "&amp;'معاير الائتمان'!$C$12,"")</f>
        <v/>
      </c>
      <c r="B86" s="1327"/>
      <c r="C86" s="1328"/>
      <c r="D86" s="1114"/>
      <c r="E86" s="1114"/>
      <c r="F86" s="1114"/>
      <c r="G86" s="1114"/>
      <c r="H86" s="1114"/>
      <c r="I86" s="317"/>
      <c r="J86" s="317"/>
      <c r="K86" s="317"/>
      <c r="L86" s="317"/>
      <c r="M86" s="317"/>
      <c r="N86" s="317"/>
      <c r="O86" s="317"/>
      <c r="P86" s="317"/>
      <c r="Q86" s="317"/>
      <c r="R86" s="317"/>
      <c r="S86" s="317"/>
      <c r="Y86" s="1114"/>
      <c r="Z86" s="317"/>
      <c r="AA86" s="317"/>
      <c r="AB86" s="317"/>
      <c r="AC86" s="317"/>
      <c r="AD86" s="317"/>
      <c r="AE86" s="317"/>
      <c r="AF86" s="317"/>
    </row>
    <row r="87" spans="1:32" s="648" customFormat="1" ht="15.75" hidden="1">
      <c r="A87" s="1326" t="str">
        <f>IF(التوصية!$B$253&gt;'معاير الائتمان'!$B$45,"• "&amp;'معاير الائتمان'!$C$45,"")</f>
        <v>• رفع الدفعة الأولى للاصل (0) الى 129% كون قيمة عرض السعر  اعلى بنسبة 100% من متوسط القيمة السوقية</v>
      </c>
      <c r="B87" s="1327"/>
      <c r="C87" s="1328"/>
      <c r="D87" s="1114"/>
      <c r="E87" s="1114"/>
      <c r="F87" s="1114"/>
      <c r="G87" s="1114"/>
      <c r="H87" s="1114"/>
      <c r="I87" s="317"/>
      <c r="J87" s="317"/>
      <c r="K87" s="317"/>
      <c r="L87" s="317"/>
      <c r="M87" s="317"/>
      <c r="N87" s="317"/>
      <c r="O87" s="317"/>
      <c r="P87" s="317"/>
      <c r="Q87" s="317"/>
      <c r="R87" s="317"/>
      <c r="S87" s="317"/>
      <c r="Y87" s="1114"/>
      <c r="Z87" s="317"/>
      <c r="AA87" s="317"/>
      <c r="AB87" s="317"/>
      <c r="AC87" s="317"/>
      <c r="AD87" s="317"/>
      <c r="AE87" s="317"/>
      <c r="AF87" s="317"/>
    </row>
    <row r="88" spans="1:32" s="648" customFormat="1" ht="15.75" hidden="1">
      <c r="A88" s="1326" t="str">
        <f>IF(التوصية!$B$254&gt;'معاير الائتمان'!$B$46,"• "&amp;'معاير الائتمان'!$C$46,"")</f>
        <v/>
      </c>
      <c r="B88" s="1327"/>
      <c r="C88" s="1328"/>
      <c r="D88" s="1114"/>
      <c r="E88" s="1114"/>
      <c r="F88" s="1114"/>
      <c r="G88" s="1114"/>
      <c r="H88" s="1114"/>
      <c r="I88" s="317"/>
      <c r="J88" s="317"/>
      <c r="K88" s="317"/>
      <c r="L88" s="317"/>
      <c r="M88" s="317"/>
      <c r="N88" s="317"/>
      <c r="O88" s="317"/>
      <c r="P88" s="317"/>
      <c r="Q88" s="317"/>
      <c r="R88" s="317"/>
      <c r="S88" s="317"/>
      <c r="Y88" s="1114"/>
      <c r="Z88" s="317"/>
      <c r="AA88" s="317"/>
      <c r="AB88" s="317"/>
      <c r="AC88" s="317"/>
      <c r="AD88" s="317"/>
      <c r="AE88" s="317"/>
      <c r="AF88" s="317"/>
    </row>
    <row r="89" spans="1:32" s="648" customFormat="1" ht="15.75" hidden="1">
      <c r="A89" s="1326" t="str">
        <f>IF(التوصية!$B$255&gt;'معاير الائتمان'!$B$47,"• "&amp;'معاير الائتمان'!$C$47,"")</f>
        <v/>
      </c>
      <c r="B89" s="1327"/>
      <c r="C89" s="1328"/>
      <c r="D89" s="1114"/>
      <c r="E89" s="1114"/>
      <c r="F89" s="1114"/>
      <c r="G89" s="1114"/>
      <c r="H89" s="1114"/>
      <c r="I89" s="317"/>
      <c r="J89" s="317"/>
      <c r="K89" s="317"/>
      <c r="L89" s="317"/>
      <c r="M89" s="317"/>
      <c r="N89" s="317"/>
      <c r="O89" s="317"/>
      <c r="P89" s="317"/>
      <c r="Q89" s="317"/>
      <c r="R89" s="317"/>
      <c r="S89" s="317"/>
      <c r="Y89" s="1114"/>
      <c r="Z89" s="317"/>
      <c r="AA89" s="317"/>
      <c r="AB89" s="317"/>
      <c r="AC89" s="317"/>
      <c r="AD89" s="317"/>
      <c r="AE89" s="317"/>
      <c r="AF89" s="317"/>
    </row>
    <row r="90" spans="1:32" s="648" customFormat="1" ht="15.75" hidden="1">
      <c r="A90" s="1326" t="str">
        <f>IF(التوصية!$B$256&gt;'معاير الائتمان'!$B$48,"• "&amp;'معاير الائتمان'!$C$48,"")</f>
        <v/>
      </c>
      <c r="B90" s="1327"/>
      <c r="C90" s="1328"/>
      <c r="D90" s="1114"/>
      <c r="E90" s="1114"/>
      <c r="F90" s="1114"/>
      <c r="G90" s="1114"/>
      <c r="H90" s="1114"/>
      <c r="I90" s="317"/>
      <c r="J90" s="317"/>
      <c r="K90" s="317"/>
      <c r="L90" s="317"/>
      <c r="M90" s="317"/>
      <c r="N90" s="317"/>
      <c r="O90" s="317"/>
      <c r="P90" s="317"/>
      <c r="Q90" s="317"/>
      <c r="R90" s="317"/>
      <c r="S90" s="317"/>
      <c r="Y90" s="1114"/>
      <c r="Z90" s="317"/>
      <c r="AA90" s="317"/>
      <c r="AB90" s="317"/>
      <c r="AC90" s="317"/>
      <c r="AD90" s="317"/>
      <c r="AE90" s="317"/>
      <c r="AF90" s="317"/>
    </row>
    <row r="91" spans="1:32" s="648" customFormat="1" ht="15.75" hidden="1">
      <c r="A91" s="1326" t="str">
        <f>IF(التوصية!$B$257&gt;'معاير الائتمان'!$B$49,"• "&amp;'معاير الائتمان'!$C$49,"")</f>
        <v/>
      </c>
      <c r="B91" s="1327"/>
      <c r="C91" s="1328"/>
      <c r="D91" s="1114"/>
      <c r="E91" s="1114"/>
      <c r="F91" s="1114"/>
      <c r="G91" s="1114"/>
      <c r="H91" s="1114"/>
      <c r="I91" s="317"/>
      <c r="J91" s="317"/>
      <c r="K91" s="317"/>
      <c r="L91" s="317"/>
      <c r="M91" s="317"/>
      <c r="N91" s="317"/>
      <c r="O91" s="317"/>
      <c r="P91" s="317"/>
      <c r="Q91" s="317"/>
      <c r="R91" s="317"/>
      <c r="S91" s="317"/>
      <c r="Y91" s="1114"/>
      <c r="Z91" s="317"/>
      <c r="AA91" s="317"/>
      <c r="AB91" s="317"/>
      <c r="AC91" s="317"/>
      <c r="AD91" s="317"/>
      <c r="AE91" s="317"/>
      <c r="AF91" s="317"/>
    </row>
    <row r="92" spans="1:32" s="648" customFormat="1" ht="15.75" hidden="1">
      <c r="A92" s="1332"/>
      <c r="B92" s="1333"/>
      <c r="C92" s="1334"/>
      <c r="D92" s="1114"/>
      <c r="E92" s="1114"/>
      <c r="F92" s="1114"/>
      <c r="G92" s="1114"/>
      <c r="H92" s="1114"/>
      <c r="I92" s="317"/>
      <c r="J92" s="317"/>
      <c r="K92" s="317"/>
      <c r="L92" s="317"/>
      <c r="M92" s="317"/>
      <c r="N92" s="317"/>
      <c r="O92" s="317"/>
      <c r="P92" s="317"/>
      <c r="Q92" s="317"/>
      <c r="R92" s="317"/>
      <c r="S92" s="317"/>
      <c r="Y92" s="1114"/>
      <c r="Z92" s="317"/>
      <c r="AA92" s="317"/>
      <c r="AB92" s="317"/>
      <c r="AC92" s="317"/>
      <c r="AD92" s="317"/>
      <c r="AE92" s="317"/>
      <c r="AF92" s="317"/>
    </row>
    <row r="93" spans="1:32" s="648" customFormat="1" ht="15.75" hidden="1">
      <c r="A93" s="1329" t="s">
        <v>388</v>
      </c>
      <c r="B93" s="1330"/>
      <c r="C93" s="1331"/>
      <c r="D93" s="1164"/>
      <c r="E93" s="1114"/>
      <c r="F93" s="1114"/>
      <c r="G93" s="1114"/>
      <c r="H93" s="1114"/>
      <c r="I93" s="317"/>
      <c r="J93" s="317"/>
      <c r="K93" s="317"/>
      <c r="L93" s="317"/>
      <c r="M93" s="317"/>
      <c r="N93" s="317"/>
      <c r="O93" s="317"/>
      <c r="P93" s="317"/>
      <c r="Q93" s="317"/>
      <c r="R93" s="317"/>
      <c r="S93" s="317"/>
      <c r="Y93" s="1114"/>
      <c r="Z93" s="317"/>
      <c r="AA93" s="317"/>
      <c r="AB93" s="317"/>
      <c r="AC93" s="317"/>
      <c r="AD93" s="317"/>
      <c r="AE93" s="317"/>
      <c r="AF93" s="317"/>
    </row>
    <row r="94" spans="1:32" s="648" customFormat="1" ht="15.75" hidden="1">
      <c r="A94" s="1374" t="str">
        <f>IF(التوصية!$D$244='معاير الائتمان'!$A$53," • "&amp;'معاير الائتمان'!$C$53,"")</f>
        <v/>
      </c>
      <c r="B94" s="1375"/>
      <c r="C94" s="1376"/>
      <c r="D94" s="1114"/>
      <c r="E94" s="1164"/>
      <c r="F94" s="1164"/>
      <c r="G94" s="1164"/>
      <c r="H94" s="1164"/>
      <c r="I94" s="317"/>
      <c r="J94" s="317"/>
      <c r="K94" s="317"/>
      <c r="L94" s="317"/>
      <c r="M94" s="317"/>
      <c r="N94" s="317"/>
      <c r="O94" s="317"/>
      <c r="P94" s="317"/>
      <c r="Q94" s="317"/>
      <c r="R94" s="317"/>
      <c r="S94" s="317"/>
      <c r="Y94" s="1164"/>
      <c r="Z94" s="317"/>
      <c r="AA94" s="317"/>
      <c r="AB94" s="317"/>
      <c r="AC94" s="317"/>
      <c r="AD94" s="317"/>
      <c r="AE94" s="317"/>
      <c r="AF94" s="317"/>
    </row>
    <row r="95" spans="1:32" s="648" customFormat="1" ht="15.75" hidden="1">
      <c r="A95" s="1326" t="str">
        <f>IF(التوصية!$B$280&lt;'معاير الائتمان'!$B$62,""&amp;'معاير الائتمان'!$C$62,"")</f>
        <v xml:space="preserve"> • مبلغ التمويل 7,343 دولار (دون 10 الاف دولار) وبالتالي رفع نسبة الربح الى 10%</v>
      </c>
      <c r="B95" s="1327"/>
      <c r="C95" s="1328"/>
      <c r="D95" s="1114"/>
      <c r="E95" s="1114"/>
      <c r="F95" s="1114"/>
      <c r="G95" s="1114"/>
      <c r="H95" s="1114"/>
      <c r="I95" s="317"/>
      <c r="J95" s="317"/>
      <c r="K95" s="317"/>
      <c r="L95" s="317"/>
      <c r="M95" s="317"/>
      <c r="N95" s="317"/>
      <c r="O95" s="317"/>
      <c r="P95" s="317"/>
      <c r="Q95" s="317"/>
      <c r="R95" s="317"/>
      <c r="S95" s="317"/>
      <c r="Y95" s="1114"/>
      <c r="Z95" s="317"/>
      <c r="AA95" s="317"/>
      <c r="AB95" s="317"/>
      <c r="AC95" s="317"/>
      <c r="AD95" s="317"/>
      <c r="AE95" s="317"/>
      <c r="AF95" s="317"/>
    </row>
    <row r="96" spans="1:32" s="648" customFormat="1" ht="15.75" hidden="1">
      <c r="A96" s="1326" t="str">
        <f>IF(AND(التوصية!$B$280&lt;'معاير الائتمان'!$B$63,التوصية!$B$280&gt;'معاير الائتمان'!$B$62),""&amp;'معاير الائتمان'!$C$63,"")</f>
        <v/>
      </c>
      <c r="B96" s="1327"/>
      <c r="C96" s="1328"/>
      <c r="D96" s="1114"/>
      <c r="E96" s="1114"/>
      <c r="F96" s="1114"/>
      <c r="G96" s="1114"/>
      <c r="H96" s="1114"/>
      <c r="I96" s="317"/>
      <c r="J96" s="317"/>
      <c r="K96" s="317"/>
      <c r="L96" s="317"/>
      <c r="M96" s="317"/>
      <c r="N96" s="317"/>
      <c r="O96" s="317"/>
      <c r="P96" s="317"/>
      <c r="Q96" s="317"/>
      <c r="R96" s="317"/>
      <c r="S96" s="317"/>
      <c r="Y96" s="1114"/>
      <c r="Z96" s="317"/>
      <c r="AA96" s="317"/>
      <c r="AB96" s="317"/>
      <c r="AC96" s="317"/>
      <c r="AD96" s="317"/>
      <c r="AE96" s="317"/>
      <c r="AF96" s="317"/>
    </row>
    <row r="97" spans="1:32" s="648" customFormat="1" ht="15.75" hidden="1">
      <c r="A97" s="1326" t="str">
        <f>IF(AND(التوصية!$B$280&gt;'معاير الائتمان'!$B$63,التوصية!$B$280&lt;'معاير الائتمان'!$B$64),""&amp;'معاير الائتمان'!$C$64,"")</f>
        <v/>
      </c>
      <c r="B97" s="1327"/>
      <c r="C97" s="1328"/>
      <c r="D97" s="1114"/>
      <c r="E97" s="1114"/>
      <c r="F97" s="1114"/>
      <c r="G97" s="1114"/>
      <c r="H97" s="1114"/>
      <c r="I97" s="317"/>
      <c r="J97" s="317"/>
      <c r="K97" s="317"/>
      <c r="L97" s="317"/>
      <c r="M97" s="317"/>
      <c r="N97" s="317"/>
      <c r="O97" s="317"/>
      <c r="P97" s="317"/>
      <c r="Q97" s="317"/>
      <c r="R97" s="317"/>
      <c r="S97" s="317"/>
      <c r="Y97" s="1114"/>
      <c r="Z97" s="317"/>
      <c r="AA97" s="317"/>
      <c r="AB97" s="317"/>
      <c r="AC97" s="317"/>
      <c r="AD97" s="317"/>
      <c r="AE97" s="317"/>
      <c r="AF97" s="317"/>
    </row>
    <row r="98" spans="1:32" s="648" customFormat="1" ht="15.75" hidden="1">
      <c r="A98" s="1326" t="str">
        <f>IF(AND(التوصية!$D$244='معاير الائتمان'!$A$55,التوصية!$D$280&gt;'معاير الائتمان'!$B$55),""&amp;'معاير الائتمان'!$C$55,"")</f>
        <v/>
      </c>
      <c r="B98" s="1327"/>
      <c r="C98" s="1328"/>
      <c r="D98" s="1114"/>
      <c r="E98" s="1114"/>
      <c r="F98" s="1114"/>
      <c r="G98" s="1114"/>
      <c r="H98" s="1114"/>
      <c r="I98" s="317"/>
      <c r="J98" s="317"/>
      <c r="K98" s="317"/>
      <c r="L98" s="317"/>
      <c r="M98" s="317"/>
      <c r="N98" s="317"/>
      <c r="O98" s="317"/>
      <c r="P98" s="317"/>
      <c r="Q98" s="317"/>
      <c r="R98" s="317"/>
      <c r="S98" s="317"/>
      <c r="Y98" s="1114"/>
      <c r="Z98" s="317"/>
      <c r="AA98" s="317"/>
      <c r="AB98" s="317"/>
      <c r="AC98" s="317"/>
      <c r="AD98" s="317"/>
      <c r="AE98" s="317"/>
      <c r="AF98" s="317"/>
    </row>
    <row r="99" spans="1:32" s="648" customFormat="1" ht="15.75" hidden="1">
      <c r="A99" s="1326" t="str">
        <f>IF(AND(التوصية!$D$244='معاير الائتمان'!$A$56,التوصية!$D$280&gt;'معاير الائتمان'!$B$56),""&amp;'معاير الائتمان'!$C$56,"")</f>
        <v/>
      </c>
      <c r="B99" s="1327"/>
      <c r="C99" s="1328"/>
      <c r="D99" s="1114"/>
      <c r="E99" s="1114"/>
      <c r="F99" s="1114"/>
      <c r="G99" s="1114"/>
      <c r="H99" s="1114"/>
      <c r="I99" s="317"/>
      <c r="J99" s="317"/>
      <c r="K99" s="317"/>
      <c r="L99" s="317"/>
      <c r="M99" s="317"/>
      <c r="N99" s="317"/>
      <c r="O99" s="317"/>
      <c r="P99" s="317"/>
      <c r="Q99" s="317"/>
      <c r="R99" s="317"/>
      <c r="S99" s="317"/>
      <c r="Y99" s="1114"/>
      <c r="Z99" s="317"/>
      <c r="AA99" s="317"/>
      <c r="AB99" s="317"/>
      <c r="AC99" s="317"/>
      <c r="AD99" s="317"/>
      <c r="AE99" s="317"/>
      <c r="AF99" s="317"/>
    </row>
    <row r="100" spans="1:32" s="648" customFormat="1" ht="15.75" hidden="1">
      <c r="A100" s="1326" t="str">
        <f>IF(AND(التوصية!$D$244='معاير الائتمان'!$A$54,التوصية!$D$280&gt;'معاير الائتمان'!$B$54),""&amp;'معاير الائتمان'!$C$54,"")</f>
        <v/>
      </c>
      <c r="B100" s="1327"/>
      <c r="C100" s="1328"/>
      <c r="D100" s="1114"/>
      <c r="E100" s="1114"/>
      <c r="F100" s="1114"/>
      <c r="G100" s="1114"/>
      <c r="H100" s="1114"/>
      <c r="I100" s="317"/>
      <c r="J100" s="317"/>
      <c r="K100" s="317"/>
      <c r="L100" s="317"/>
      <c r="M100" s="317"/>
      <c r="N100" s="317"/>
      <c r="O100" s="317"/>
      <c r="P100" s="317"/>
      <c r="Q100" s="317"/>
      <c r="R100" s="317"/>
      <c r="S100" s="317"/>
      <c r="Y100" s="1114"/>
      <c r="Z100" s="317"/>
      <c r="AA100" s="317"/>
      <c r="AB100" s="317"/>
      <c r="AC100" s="317"/>
      <c r="AD100" s="317"/>
      <c r="AE100" s="317"/>
      <c r="AF100" s="317"/>
    </row>
    <row r="101" spans="1:32" s="648" customFormat="1" ht="15.75" hidden="1">
      <c r="A101" s="1326" t="str">
        <f>IF(AND(التوصية!$D$244='معاير الائتمان'!$A$58,التوصية!$D$280&gt;'معاير الائتمان'!$B$58),""&amp;'معاير الائتمان'!$C$58,"")</f>
        <v/>
      </c>
      <c r="B101" s="1327"/>
      <c r="C101" s="1328"/>
      <c r="D101" s="1114"/>
      <c r="E101" s="1114"/>
      <c r="F101" s="1114"/>
      <c r="G101" s="1114"/>
      <c r="H101" s="1114"/>
      <c r="I101" s="317"/>
      <c r="J101" s="317"/>
      <c r="K101" s="317"/>
      <c r="L101" s="317"/>
      <c r="M101" s="317"/>
      <c r="N101" s="317"/>
      <c r="O101" s="317"/>
      <c r="P101" s="317"/>
      <c r="Q101" s="317"/>
      <c r="R101" s="317"/>
      <c r="S101" s="317"/>
      <c r="Y101" s="1114"/>
      <c r="Z101" s="317"/>
      <c r="AA101" s="317"/>
      <c r="AB101" s="317"/>
      <c r="AC101" s="317"/>
      <c r="AD101" s="317"/>
      <c r="AE101" s="317"/>
      <c r="AF101" s="317"/>
    </row>
    <row r="102" spans="1:32" s="648" customFormat="1" ht="15.75" hidden="1">
      <c r="A102" s="1326" t="str">
        <f>IF(AND(التوصية!$D$244='معاير الائتمان'!$A$59,التوصية!$D$280&gt;'معاير الائتمان'!$B$59),""&amp;'معاير الائتمان'!$C$59,"")</f>
        <v/>
      </c>
      <c r="B102" s="1327"/>
      <c r="C102" s="1328"/>
      <c r="D102" s="1114"/>
      <c r="E102" s="1114"/>
      <c r="F102" s="1114"/>
      <c r="G102" s="1114"/>
      <c r="H102" s="1114"/>
      <c r="I102" s="317"/>
      <c r="J102" s="317"/>
      <c r="K102" s="317"/>
      <c r="L102" s="317"/>
      <c r="M102" s="317"/>
      <c r="N102" s="317"/>
      <c r="O102" s="317"/>
      <c r="P102" s="317"/>
      <c r="Q102" s="317"/>
      <c r="R102" s="317"/>
      <c r="S102" s="317"/>
      <c r="Y102" s="1114"/>
      <c r="Z102" s="317"/>
      <c r="AA102" s="317"/>
      <c r="AB102" s="317"/>
      <c r="AC102" s="317"/>
      <c r="AD102" s="317"/>
      <c r="AE102" s="317"/>
      <c r="AF102" s="317"/>
    </row>
    <row r="103" spans="1:32" s="648" customFormat="1" ht="15.75" hidden="1">
      <c r="A103" s="1326" t="str">
        <f>IF(AND(التوصية!$D$244='معاير الائتمان'!$A$57,التوصية!$D$280&gt;'معاير الائتمان'!$B$57),""&amp;'معاير الائتمان'!$C$57,"")</f>
        <v/>
      </c>
      <c r="B103" s="1327"/>
      <c r="C103" s="1328"/>
      <c r="D103" s="1114"/>
      <c r="E103" s="1114"/>
      <c r="F103" s="1114"/>
      <c r="G103" s="1114"/>
      <c r="H103" s="1114"/>
      <c r="I103" s="317"/>
      <c r="J103" s="317"/>
      <c r="K103" s="317"/>
      <c r="L103" s="317"/>
      <c r="M103" s="317"/>
      <c r="N103" s="317"/>
      <c r="O103" s="317"/>
      <c r="P103" s="317"/>
      <c r="Q103" s="317"/>
      <c r="R103" s="317"/>
      <c r="S103" s="317"/>
      <c r="Y103" s="1114"/>
      <c r="Z103" s="317"/>
      <c r="AA103" s="317"/>
      <c r="AB103" s="317"/>
      <c r="AC103" s="317"/>
      <c r="AD103" s="317"/>
      <c r="AE103" s="317"/>
      <c r="AF103" s="317"/>
    </row>
    <row r="104" spans="1:32" s="648" customFormat="1" ht="15.75" hidden="1">
      <c r="A104" s="1326" t="str">
        <f>IF(AND(التوصية!$D$244='معاير الائتمان'!$A$60,التوصية!$D$280&gt;'معاير الائتمان'!$B$60),""&amp;'معاير الائتمان'!$C$60,"")</f>
        <v/>
      </c>
      <c r="B104" s="1327"/>
      <c r="C104" s="1328"/>
      <c r="D104" s="1114"/>
      <c r="E104" s="1114"/>
      <c r="F104" s="1114"/>
      <c r="G104" s="1114"/>
      <c r="H104" s="1114"/>
      <c r="I104" s="317"/>
      <c r="J104" s="317"/>
      <c r="K104" s="317"/>
      <c r="L104" s="317"/>
      <c r="M104" s="317"/>
      <c r="N104" s="317"/>
      <c r="O104" s="317"/>
      <c r="P104" s="317"/>
      <c r="Q104" s="317"/>
      <c r="R104" s="317"/>
      <c r="S104" s="317"/>
      <c r="Y104" s="1114"/>
      <c r="Z104" s="317"/>
      <c r="AA104" s="317"/>
      <c r="AB104" s="317"/>
      <c r="AC104" s="317"/>
      <c r="AD104" s="317"/>
      <c r="AE104" s="317"/>
      <c r="AF104" s="317"/>
    </row>
    <row r="105" spans="1:32" s="648" customFormat="1" ht="15.75" hidden="1" customHeight="1">
      <c r="A105" s="1326" t="str">
        <f>IF(AND(التوصية!$D$244='معاير الائتمان'!$A$61,التوصية!$D$280&gt;'معاير الائتمان'!$B$61),""&amp;'معاير الائتمان'!$C$61,"")</f>
        <v/>
      </c>
      <c r="B105" s="1327"/>
      <c r="C105" s="1328"/>
      <c r="D105" s="1114"/>
      <c r="E105" s="1114"/>
      <c r="F105" s="1114"/>
      <c r="G105" s="1114"/>
      <c r="H105" s="1114"/>
      <c r="I105" s="317"/>
      <c r="J105" s="317"/>
      <c r="K105" s="317"/>
      <c r="L105" s="317"/>
      <c r="M105" s="317"/>
      <c r="N105" s="317"/>
      <c r="O105" s="317"/>
      <c r="P105" s="317"/>
      <c r="Q105" s="317"/>
      <c r="R105" s="317"/>
      <c r="S105" s="317"/>
      <c r="Y105" s="1114"/>
      <c r="Z105" s="317"/>
      <c r="AA105" s="317"/>
      <c r="AB105" s="317"/>
      <c r="AC105" s="317"/>
      <c r="AD105" s="317"/>
      <c r="AE105" s="317"/>
      <c r="AF105" s="317"/>
    </row>
    <row r="106" spans="1:32" s="648" customFormat="1" ht="15.75" hidden="1" customHeight="1">
      <c r="A106" s="1326" t="str">
        <f>'معاير الائتمان'!$C$52</f>
        <v/>
      </c>
      <c r="B106" s="1327"/>
      <c r="C106" s="1328"/>
      <c r="D106" s="1114"/>
      <c r="E106" s="1114"/>
      <c r="F106" s="1114"/>
      <c r="G106" s="1114"/>
      <c r="H106" s="1114"/>
      <c r="I106" s="317"/>
      <c r="J106" s="317"/>
      <c r="K106" s="317"/>
      <c r="L106" s="317"/>
      <c r="M106" s="317"/>
      <c r="N106" s="317"/>
      <c r="O106" s="317"/>
      <c r="P106" s="317"/>
      <c r="Q106" s="317"/>
      <c r="R106" s="317"/>
      <c r="S106" s="317"/>
      <c r="Y106" s="1114"/>
      <c r="Z106" s="317"/>
      <c r="AA106" s="317"/>
      <c r="AB106" s="317"/>
      <c r="AC106" s="317"/>
      <c r="AD106" s="317"/>
      <c r="AE106" s="317"/>
      <c r="AF106" s="317"/>
    </row>
    <row r="107" spans="1:32" ht="15.75" hidden="1">
      <c r="A107" s="1326"/>
      <c r="B107" s="1327"/>
      <c r="C107" s="1328"/>
      <c r="D107" s="1114"/>
      <c r="E107" s="1114"/>
      <c r="F107" s="1114"/>
      <c r="G107" s="1114"/>
      <c r="H107" s="1114"/>
      <c r="Y107" s="1114"/>
    </row>
    <row r="108" spans="1:32" ht="15.75" hidden="1">
      <c r="A108" s="1326"/>
      <c r="B108" s="1327"/>
      <c r="C108" s="1328"/>
      <c r="D108" s="1048"/>
      <c r="E108" s="1114"/>
      <c r="F108" s="1114"/>
      <c r="G108" s="1114"/>
      <c r="H108" s="1114"/>
      <c r="Y108" s="1114"/>
    </row>
    <row r="109" spans="1:32" hidden="1">
      <c r="D109" s="1165"/>
      <c r="E109" s="1048"/>
      <c r="F109" s="1048"/>
      <c r="G109" s="1048"/>
      <c r="H109" s="1048"/>
      <c r="R109" s="1157" t="str">
        <f>التوصية!A408</f>
        <v>الضمانات</v>
      </c>
      <c r="S109" s="1142">
        <f>التوصية!B408</f>
        <v>0</v>
      </c>
      <c r="Y109" s="1048"/>
    </row>
    <row r="110" spans="1:32" hidden="1">
      <c r="D110" s="1116"/>
      <c r="E110" s="1165"/>
      <c r="F110" s="1165"/>
      <c r="G110" s="1165"/>
      <c r="H110" s="1165"/>
      <c r="R110" s="1134" t="str">
        <f>التوصية!A409</f>
        <v>قيمة الضمانات بالدولار</v>
      </c>
      <c r="S110" s="1145">
        <f>التوصية!B409</f>
        <v>0</v>
      </c>
      <c r="Y110" s="1165"/>
    </row>
    <row r="111" spans="1:32" hidden="1">
      <c r="D111" s="1116"/>
      <c r="E111" s="1116"/>
      <c r="F111" s="1116"/>
      <c r="G111" s="1116"/>
      <c r="H111" s="1116"/>
      <c r="R111" s="1137" t="str">
        <f>التوصية!A410</f>
        <v>نسبة تغطية الضمانات للتمويل</v>
      </c>
      <c r="S111" s="1146">
        <f>التوصية!B410</f>
        <v>0</v>
      </c>
      <c r="Y111" s="1116"/>
    </row>
    <row r="112" spans="1:32" hidden="1">
      <c r="Y112" s="1137"/>
    </row>
  </sheetData>
  <mergeCells count="96">
    <mergeCell ref="B31:C31"/>
    <mergeCell ref="B32:C32"/>
    <mergeCell ref="B33:C33"/>
    <mergeCell ref="B34:C34"/>
    <mergeCell ref="R40:S40"/>
    <mergeCell ref="C40:K40"/>
    <mergeCell ref="Z40:AA40"/>
    <mergeCell ref="A38:AA38"/>
    <mergeCell ref="B35:C35"/>
    <mergeCell ref="B36:C36"/>
    <mergeCell ref="B37:C37"/>
    <mergeCell ref="Z35:AA36"/>
    <mergeCell ref="B9:C9"/>
    <mergeCell ref="I12:I16"/>
    <mergeCell ref="I26:I30"/>
    <mergeCell ref="Q12:Q16"/>
    <mergeCell ref="Q26:Q30"/>
    <mergeCell ref="B30:C30"/>
    <mergeCell ref="A53:C53"/>
    <mergeCell ref="A42:C42"/>
    <mergeCell ref="A43:C43"/>
    <mergeCell ref="A44:C44"/>
    <mergeCell ref="A45:C45"/>
    <mergeCell ref="A46:C46"/>
    <mergeCell ref="A47:C47"/>
    <mergeCell ref="A48:C48"/>
    <mergeCell ref="A49:C49"/>
    <mergeCell ref="A50:C50"/>
    <mergeCell ref="A51:C51"/>
    <mergeCell ref="A52:C52"/>
    <mergeCell ref="A65:C65"/>
    <mergeCell ref="A54:C54"/>
    <mergeCell ref="A55:C55"/>
    <mergeCell ref="A56:C56"/>
    <mergeCell ref="A57:C57"/>
    <mergeCell ref="A58:C58"/>
    <mergeCell ref="A59:C59"/>
    <mergeCell ref="A60:C60"/>
    <mergeCell ref="A61:C61"/>
    <mergeCell ref="A62:C62"/>
    <mergeCell ref="A63:C63"/>
    <mergeCell ref="A64:C64"/>
    <mergeCell ref="A88:C88"/>
    <mergeCell ref="A77:C77"/>
    <mergeCell ref="A66:C66"/>
    <mergeCell ref="A67:C67"/>
    <mergeCell ref="A68:C68"/>
    <mergeCell ref="A69:C69"/>
    <mergeCell ref="A70:C70"/>
    <mergeCell ref="A71:C71"/>
    <mergeCell ref="A72:C72"/>
    <mergeCell ref="A73:C73"/>
    <mergeCell ref="A74:C74"/>
    <mergeCell ref="A75:C75"/>
    <mergeCell ref="A76:C76"/>
    <mergeCell ref="A83:C83"/>
    <mergeCell ref="A84:C84"/>
    <mergeCell ref="A85:C85"/>
    <mergeCell ref="A86:C86"/>
    <mergeCell ref="A87:C87"/>
    <mergeCell ref="A78:C78"/>
    <mergeCell ref="A79:C79"/>
    <mergeCell ref="A80:C80"/>
    <mergeCell ref="A81:C81"/>
    <mergeCell ref="A82:C82"/>
    <mergeCell ref="A97:C97"/>
    <mergeCell ref="A98:C98"/>
    <mergeCell ref="A99:C99"/>
    <mergeCell ref="A100:C100"/>
    <mergeCell ref="A89:C89"/>
    <mergeCell ref="A92:C92"/>
    <mergeCell ref="A93:C93"/>
    <mergeCell ref="A94:C94"/>
    <mergeCell ref="A95:C95"/>
    <mergeCell ref="A96:C96"/>
    <mergeCell ref="Z9:AA9"/>
    <mergeCell ref="A107:C107"/>
    <mergeCell ref="A108:C108"/>
    <mergeCell ref="J9:K9"/>
    <mergeCell ref="J24:K24"/>
    <mergeCell ref="R9:S9"/>
    <mergeCell ref="R24:S24"/>
    <mergeCell ref="A102:C102"/>
    <mergeCell ref="A103:C103"/>
    <mergeCell ref="A104:C104"/>
    <mergeCell ref="A105:C105"/>
    <mergeCell ref="A106:C106"/>
    <mergeCell ref="A101:C101"/>
    <mergeCell ref="A90:C90"/>
    <mergeCell ref="Z25:AA26"/>
    <mergeCell ref="A91:C91"/>
    <mergeCell ref="Z27:AA28"/>
    <mergeCell ref="Z29:AA30"/>
    <mergeCell ref="Z31:AA32"/>
    <mergeCell ref="Z33:AA34"/>
    <mergeCell ref="Z24:AA24"/>
  </mergeCells>
  <conditionalFormatting sqref="Y1:AF1 H1:P1">
    <cfRule type="cellIs" dxfId="115" priority="36" operator="lessThan">
      <formula>0.7</formula>
    </cfRule>
    <cfRule type="expression" dxfId="114" priority="37">
      <formula>AND($H$1&lt;0.9,$H$1&gt;=0.7)</formula>
    </cfRule>
    <cfRule type="expression" dxfId="113" priority="38">
      <formula>OR(H1=0.9,H1&gt;0.9)</formula>
    </cfRule>
  </conditionalFormatting>
  <conditionalFormatting sqref="S110">
    <cfRule type="expression" dxfId="112" priority="33">
      <formula>FC=EUR</formula>
    </cfRule>
    <cfRule type="expression" dxfId="111" priority="34">
      <formula>FC=ILS</formula>
    </cfRule>
    <cfRule type="expression" dxfId="110" priority="35">
      <formula>FC=USD</formula>
    </cfRule>
  </conditionalFormatting>
  <conditionalFormatting sqref="B7:C7 G7">
    <cfRule type="cellIs" dxfId="109" priority="24" operator="lessThan">
      <formula>0.7</formula>
    </cfRule>
    <cfRule type="expression" dxfId="108" priority="25">
      <formula>AND($H$1&lt;0.9,$H$1&gt;=0.7)</formula>
    </cfRule>
    <cfRule type="expression" dxfId="107" priority="26">
      <formula>OR(B7=0.9,B7&gt;0.9)</formula>
    </cfRule>
  </conditionalFormatting>
  <conditionalFormatting sqref="C18:C19 K16:K17 K30:K31 S16:S17 S30:S31 AA12:AA14 AA19">
    <cfRule type="expression" dxfId="106" priority="15">
      <formula>FC=USD</formula>
    </cfRule>
  </conditionalFormatting>
  <conditionalFormatting sqref="AA12:AA14 AA19 S30:S31 S16:S17 K30:K31 K16:K17 C18:C19">
    <cfRule type="expression" dxfId="105" priority="13">
      <formula>FC=ILS</formula>
    </cfRule>
    <cfRule type="expression" dxfId="104" priority="14">
      <formula>FC=EUR</formula>
    </cfRule>
  </conditionalFormatting>
  <conditionalFormatting sqref="D6 H6:P7 Y6:AF7">
    <cfRule type="cellIs" dxfId="103" priority="8" operator="equal">
      <formula>"-"</formula>
    </cfRule>
  </conditionalFormatting>
  <conditionalFormatting sqref="E6">
    <cfRule type="cellIs" dxfId="102" priority="7" operator="equal">
      <formula>"-"</formula>
    </cfRule>
  </conditionalFormatting>
  <conditionalFormatting sqref="F6">
    <cfRule type="cellIs" dxfId="101" priority="6" operator="equal">
      <formula>"-"</formula>
    </cfRule>
  </conditionalFormatting>
  <conditionalFormatting sqref="D7">
    <cfRule type="cellIs" dxfId="100" priority="4" operator="equal">
      <formula>"-"</formula>
    </cfRule>
  </conditionalFormatting>
  <conditionalFormatting sqref="E7">
    <cfRule type="cellIs" dxfId="99" priority="3" operator="equal">
      <formula>"-"</formula>
    </cfRule>
  </conditionalFormatting>
  <conditionalFormatting sqref="F7">
    <cfRule type="cellIs" dxfId="98" priority="2" operator="equal">
      <formula>"-"</formula>
    </cfRule>
  </conditionalFormatting>
  <pageMargins left="0.7" right="0.7" top="0.75" bottom="0.75" header="0.3" footer="0.3"/>
  <pageSetup scale="88" fitToWidth="6" fitToHeight="6" orientation="portrait" r:id="rId1"/>
  <headerFooter>
    <oddHeader>&amp;L&amp;G&amp;C&amp;"-,Bold"&amp;16التوصية الائتمانية&amp;R&amp;D</oddHeader>
    <oddFooter>&amp;CPg &amp;P / &amp;N</oddFooter>
  </headerFooter>
  <legacyDrawingHF r:id="rId2"/>
  <extLst>
    <ext xmlns:x14="http://schemas.microsoft.com/office/spreadsheetml/2009/9/main" uri="{78C0D931-6437-407d-A8EE-F0AAD7539E65}">
      <x14:conditionalFormattings>
        <x14:conditionalFormatting xmlns:xm="http://schemas.microsoft.com/office/excel/2006/main">
          <x14:cfRule type="expression" priority="32" id="{6DE0541C-25A8-4F46-80E9-CE0F1EE865B7}">
            <xm:f>التوصية!$B$49=""</xm:f>
            <x14:dxf>
              <font>
                <strike/>
                <color theme="0" tint="-0.34998626667073579"/>
              </font>
              <border>
                <vertical/>
                <horizontal/>
              </border>
            </x14:dxf>
          </x14:cfRule>
          <xm:sqref>I11 J11:P23</xm:sqref>
        </x14:conditionalFormatting>
        <x14:conditionalFormatting xmlns:xm="http://schemas.microsoft.com/office/excel/2006/main">
          <x14:cfRule type="expression" priority="31" id="{08B2E7EB-2080-4224-AFCD-3D7CEC7C3792}">
            <xm:f>التوصية!$B$79=""</xm:f>
            <x14:dxf>
              <font>
                <strike/>
                <color theme="0" tint="-0.34998626667073579"/>
              </font>
            </x14:dxf>
          </x14:cfRule>
          <xm:sqref>T10:AF22 Q11:S23 R109:S111 T24:Y36 AB24:AF36 I25 J25:S37</xm:sqref>
        </x14:conditionalFormatting>
        <x14:conditionalFormatting xmlns:xm="http://schemas.microsoft.com/office/excel/2006/main">
          <x14:cfRule type="expression" priority="28" id="{CC4CEB95-2365-4A8F-9CA1-C94604A50079}">
            <xm:f>التوصية!$B$109=""</xm:f>
            <x14:dxf>
              <font>
                <strike/>
                <color theme="0" tint="-0.34998626667073579"/>
              </font>
            </x14:dxf>
          </x14:cfRule>
          <xm:sqref>Q11 Q25:S37 R109:S111 T24:Y36 AB24:AF36 R11:S23 T10:AF22</xm:sqref>
        </x14:conditionalFormatting>
        <x14:conditionalFormatting xmlns:xm="http://schemas.microsoft.com/office/excel/2006/main">
          <x14:cfRule type="expression" priority="27" stopIfTrue="1" id="{A24CDBCA-CA42-48D4-98AE-E142A3773A7F}">
            <xm:f>التوصية!$B$139=""</xm:f>
            <x14:dxf>
              <font>
                <strike/>
                <color theme="0" tint="-0.34998626667073579"/>
              </font>
            </x14:dxf>
          </x14:cfRule>
          <xm:sqref>Q25 R25:S27 R29:S37 V27:Y27 T24:Y26 R109:S111 T28:Y36 AB24:AF36</xm:sqref>
        </x14:conditionalFormatting>
        <x14:conditionalFormatting xmlns:xm="http://schemas.microsoft.com/office/excel/2006/main">
          <x14:cfRule type="expression" priority="20" id="{81962617-0E68-41C8-B101-2B747F00CA57}">
            <xm:f>التوصية!$B$139=""</xm:f>
            <x14:dxf>
              <font>
                <strike/>
                <color theme="0" tint="-0.34998626667073579"/>
              </font>
              <border>
                <vertical/>
                <horizontal/>
              </border>
            </x14:dxf>
          </x14:cfRule>
          <xm:sqref>R28:S28 T27:U27</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A1:I9"/>
  <sheetViews>
    <sheetView showGridLines="0" rightToLeft="1" zoomScaleNormal="100" zoomScaleSheetLayoutView="107" workbookViewId="0">
      <selection activeCell="F4" sqref="F4"/>
    </sheetView>
  </sheetViews>
  <sheetFormatPr defaultColWidth="9.140625" defaultRowHeight="15"/>
  <cols>
    <col min="1" max="1" width="24.28515625" bestFit="1" customWidth="1"/>
    <col min="2" max="2" width="20.85546875" bestFit="1" customWidth="1"/>
    <col min="3" max="3" width="12.5703125" bestFit="1" customWidth="1"/>
    <col min="4" max="4" width="19.42578125" bestFit="1" customWidth="1"/>
    <col min="5" max="5" width="23.5703125" bestFit="1" customWidth="1"/>
    <col min="6" max="6" width="10.7109375" customWidth="1"/>
    <col min="7" max="7" width="7.85546875" bestFit="1" customWidth="1"/>
    <col min="8" max="8" width="10.7109375" customWidth="1"/>
    <col min="9" max="9" width="7.85546875" bestFit="1" customWidth="1"/>
  </cols>
  <sheetData>
    <row r="1" spans="1:9">
      <c r="A1" s="1394" t="s">
        <v>185</v>
      </c>
      <c r="B1" s="1394"/>
      <c r="C1" s="1394"/>
      <c r="D1" s="1394"/>
      <c r="E1" s="1394"/>
      <c r="F1" s="1394"/>
      <c r="G1" s="1394"/>
      <c r="H1" s="1394"/>
      <c r="I1" s="1395"/>
    </row>
    <row r="2" spans="1:9">
      <c r="A2" s="1390" t="s">
        <v>186</v>
      </c>
      <c r="B2" s="249" t="s">
        <v>224</v>
      </c>
      <c r="C2" s="249" t="str">
        <f>IF(التوصية!$B$248='بيانات للادخال'!$F$2,'بيانات للادخال'!$D$2,IF(التوصية!$B$248='بيانات للادخال'!$F$3,'بيانات للادخال'!$D$3,IF(التوصية!$B$248='بيانات للادخال'!$F$4,'بيانات للادخال'!$D$4)))</f>
        <v>ض.ق.م (محلية)</v>
      </c>
      <c r="D2" s="249" t="s">
        <v>226</v>
      </c>
      <c r="E2" s="247" t="s">
        <v>225</v>
      </c>
      <c r="F2" s="1392" t="s">
        <v>187</v>
      </c>
      <c r="G2" s="1393"/>
      <c r="H2" s="1392" t="s">
        <v>188</v>
      </c>
      <c r="I2" s="1393"/>
    </row>
    <row r="3" spans="1:9">
      <c r="A3" s="1391"/>
      <c r="B3" s="76" t="s">
        <v>22</v>
      </c>
      <c r="C3" s="250">
        <f>IF(C2='بيانات للادخال'!$D$3,'بيانات للادخال'!$E$3,IF(C2='بيانات للادخال'!$D$2,'بيانات للادخال'!$E$2,0))</f>
        <v>0.16</v>
      </c>
      <c r="D3" s="250" t="str">
        <f>$B$3</f>
        <v>USD</v>
      </c>
      <c r="E3" s="76" t="s">
        <v>22</v>
      </c>
      <c r="F3" s="75" t="s">
        <v>22</v>
      </c>
      <c r="G3" s="251" t="s">
        <v>0</v>
      </c>
      <c r="H3" s="75" t="s">
        <v>22</v>
      </c>
      <c r="I3" s="251" t="s">
        <v>0</v>
      </c>
    </row>
    <row r="4" spans="1:9">
      <c r="A4" s="633"/>
      <c r="B4" s="252">
        <f>10373/1.16</f>
        <v>8942.241379310346</v>
      </c>
      <c r="C4" s="253">
        <f>C3</f>
        <v>0.16</v>
      </c>
      <c r="D4" s="254">
        <f>B4*(1+C4)</f>
        <v>10373</v>
      </c>
      <c r="E4" s="255">
        <f>IF($B$3='بيانات للادخال'!$B$4,D4/'بيانات للادخال'!$C$4,IF($B$3='بيانات للادخال'!$B$3,D4*'بيانات للادخال'!$C$3,IF($B$3='بيانات للادخال'!$B$2,D4*'بيانات للادخال'!$C$2,D4*1)))</f>
        <v>10373</v>
      </c>
      <c r="F4" s="256">
        <f>10000/usdrate</f>
        <v>3030.3030303030305</v>
      </c>
      <c r="G4" s="257">
        <f>F4/E4</f>
        <v>0.29213371544423317</v>
      </c>
      <c r="H4" s="256">
        <f>E4-F4</f>
        <v>7342.69696969697</v>
      </c>
      <c r="I4" s="257">
        <f>H4/E4</f>
        <v>0.70786628455576694</v>
      </c>
    </row>
    <row r="5" spans="1:9">
      <c r="A5" s="633"/>
      <c r="B5" s="252"/>
      <c r="C5" s="253">
        <f t="shared" ref="C5:C7" si="0">C4</f>
        <v>0.16</v>
      </c>
      <c r="D5" s="254">
        <f t="shared" ref="D5:D8" si="1">B5*(1+C5)</f>
        <v>0</v>
      </c>
      <c r="E5" s="255">
        <f>IF($B$3='بيانات للادخال'!$B$4,D5/'بيانات للادخال'!$C$4,IF($B$3='بيانات للادخال'!$B$3,D5*'بيانات للادخال'!$C$3,IF($B$3='بيانات للادخال'!$B$2,D5*'بيانات للادخال'!$C$2,D5*1)))</f>
        <v>0</v>
      </c>
      <c r="F5" s="256">
        <f>E5*0.2</f>
        <v>0</v>
      </c>
      <c r="G5" s="257" t="e">
        <f t="shared" ref="G5:G9" si="2">F5/E5</f>
        <v>#DIV/0!</v>
      </c>
      <c r="H5" s="256">
        <f t="shared" ref="H5:H7" si="3">E5-F5</f>
        <v>0</v>
      </c>
      <c r="I5" s="257" t="e">
        <f t="shared" ref="I5:I9" si="4">H5/E5</f>
        <v>#DIV/0!</v>
      </c>
    </row>
    <row r="6" spans="1:9">
      <c r="A6" s="633"/>
      <c r="B6" s="252"/>
      <c r="C6" s="253">
        <f t="shared" si="0"/>
        <v>0.16</v>
      </c>
      <c r="D6" s="254">
        <f t="shared" si="1"/>
        <v>0</v>
      </c>
      <c r="E6" s="255">
        <f>IF($B$3='بيانات للادخال'!$B$4,D6/'بيانات للادخال'!$C$4,IF($B$3='بيانات للادخال'!$B$3,D6*'بيانات للادخال'!$C$3,IF($B$3='بيانات للادخال'!$B$2,D6*'بيانات للادخال'!$C$2,D6*1)))</f>
        <v>0</v>
      </c>
      <c r="F6" s="256">
        <f t="shared" ref="F6:F8" si="5">E6*0.2</f>
        <v>0</v>
      </c>
      <c r="G6" s="257" t="e">
        <f t="shared" si="2"/>
        <v>#DIV/0!</v>
      </c>
      <c r="H6" s="256">
        <f t="shared" si="3"/>
        <v>0</v>
      </c>
      <c r="I6" s="257" t="e">
        <f t="shared" si="4"/>
        <v>#DIV/0!</v>
      </c>
    </row>
    <row r="7" spans="1:9">
      <c r="A7" s="633"/>
      <c r="B7" s="252"/>
      <c r="C7" s="253">
        <f t="shared" si="0"/>
        <v>0.16</v>
      </c>
      <c r="D7" s="254">
        <f t="shared" si="1"/>
        <v>0</v>
      </c>
      <c r="E7" s="255">
        <f>IF($B$3='بيانات للادخال'!$B$4,D7/'بيانات للادخال'!$C$4,IF($B$3='بيانات للادخال'!$B$3,D7*'بيانات للادخال'!$C$3,IF($B$3='بيانات للادخال'!$B$2,D7*'بيانات للادخال'!$C$2,D7*1)))</f>
        <v>0</v>
      </c>
      <c r="F7" s="256">
        <f t="shared" si="5"/>
        <v>0</v>
      </c>
      <c r="G7" s="257" t="e">
        <f t="shared" si="2"/>
        <v>#DIV/0!</v>
      </c>
      <c r="H7" s="256">
        <f t="shared" si="3"/>
        <v>0</v>
      </c>
      <c r="I7" s="257" t="e">
        <f t="shared" si="4"/>
        <v>#DIV/0!</v>
      </c>
    </row>
    <row r="8" spans="1:9">
      <c r="A8" s="633"/>
      <c r="B8" s="252"/>
      <c r="C8" s="253">
        <f>C4</f>
        <v>0.16</v>
      </c>
      <c r="D8" s="254">
        <f t="shared" si="1"/>
        <v>0</v>
      </c>
      <c r="E8" s="255">
        <f>IF($B$3='بيانات للادخال'!$B$4,D8/'بيانات للادخال'!$C$4,IF($B$3='بيانات للادخال'!$B$3,D8*'بيانات للادخال'!$C$3,IF($B$3='بيانات للادخال'!$B$2,D8*'بيانات للادخال'!$C$2,D8*1)))</f>
        <v>0</v>
      </c>
      <c r="F8" s="256">
        <f t="shared" si="5"/>
        <v>0</v>
      </c>
      <c r="G8" s="257" t="e">
        <f t="shared" si="2"/>
        <v>#DIV/0!</v>
      </c>
      <c r="H8" s="256">
        <f>E8-F8</f>
        <v>0</v>
      </c>
      <c r="I8" s="257" t="e">
        <f t="shared" si="4"/>
        <v>#DIV/0!</v>
      </c>
    </row>
    <row r="9" spans="1:9">
      <c r="A9" s="248" t="s">
        <v>258</v>
      </c>
      <c r="B9" s="258">
        <f>SUM(B4:B8)</f>
        <v>8942.241379310346</v>
      </c>
      <c r="C9" s="259" t="s">
        <v>3</v>
      </c>
      <c r="D9" s="260">
        <f>SUM(D4:D8)</f>
        <v>10373</v>
      </c>
      <c r="E9" s="260">
        <f>SUM(E4:E8)</f>
        <v>10373</v>
      </c>
      <c r="F9" s="260">
        <f>SUM(F4:F8)</f>
        <v>3030.3030303030305</v>
      </c>
      <c r="G9" s="259">
        <f t="shared" si="2"/>
        <v>0.29213371544423317</v>
      </c>
      <c r="H9" s="261">
        <f>SUM(H4:H8)</f>
        <v>7342.69696969697</v>
      </c>
      <c r="I9" s="259">
        <f t="shared" si="4"/>
        <v>0.70786628455576694</v>
      </c>
    </row>
  </sheetData>
  <mergeCells count="4">
    <mergeCell ref="A2:A3"/>
    <mergeCell ref="F2:G2"/>
    <mergeCell ref="H2:I2"/>
    <mergeCell ref="A1:I1"/>
  </mergeCells>
  <conditionalFormatting sqref="B2:B3 B9:I9 C2:I8 A4:B8">
    <cfRule type="cellIs" dxfId="92" priority="6" operator="equal">
      <formula>""</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500-000000000000}">
          <x14:formula1>
            <xm:f>'بيانات للادخال'!$B$2:$B$5</xm:f>
          </x14:formula1>
          <xm:sqref>B3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
    <pageSetUpPr fitToPage="1"/>
  </sheetPr>
  <dimension ref="A1:BM123"/>
  <sheetViews>
    <sheetView showGridLines="0" rightToLeft="1" topLeftCell="D1" zoomScale="110" zoomScaleNormal="110" zoomScaleSheetLayoutView="117" workbookViewId="0">
      <selection activeCell="G4" sqref="G4"/>
    </sheetView>
  </sheetViews>
  <sheetFormatPr defaultRowHeight="12.75"/>
  <cols>
    <col min="1" max="1" width="7.28515625" style="447" hidden="1" customWidth="1"/>
    <col min="2" max="2" width="12.85546875" style="447" hidden="1" customWidth="1"/>
    <col min="3" max="3" width="13.42578125" style="447" hidden="1" customWidth="1"/>
    <col min="4" max="4" width="20" style="447" bestFit="1" customWidth="1"/>
    <col min="5" max="5" width="13.140625" style="447" bestFit="1" customWidth="1"/>
    <col min="6" max="6" width="2.28515625" style="9" customWidth="1"/>
    <col min="7" max="7" width="5.7109375" style="9" bestFit="1" customWidth="1"/>
    <col min="8" max="8" width="8.7109375" style="447" bestFit="1" customWidth="1"/>
    <col min="9" max="9" width="13" style="447" bestFit="1" customWidth="1"/>
    <col min="10" max="10" width="15.42578125" style="447" bestFit="1" customWidth="1"/>
    <col min="11" max="11" width="14.85546875" style="447" bestFit="1" customWidth="1"/>
    <col min="12" max="12" width="12.28515625" style="447" bestFit="1" customWidth="1"/>
    <col min="13" max="13" width="12.5703125" style="447" bestFit="1" customWidth="1"/>
    <col min="14" max="14" width="5.5703125" style="447" bestFit="1" customWidth="1"/>
    <col min="15" max="15" width="11.140625" style="447" bestFit="1" customWidth="1"/>
    <col min="16" max="16" width="10.85546875" style="447" bestFit="1" customWidth="1"/>
    <col min="17" max="17" width="8.7109375" style="447" bestFit="1" customWidth="1"/>
    <col min="18" max="18" width="20.28515625" style="447" bestFit="1" customWidth="1"/>
    <col min="19" max="19" width="16.85546875" style="447" bestFit="1" customWidth="1"/>
    <col min="20" max="20" width="20" style="447" bestFit="1" customWidth="1"/>
    <col min="21" max="21" width="21.5703125" style="447" bestFit="1" customWidth="1"/>
    <col min="22" max="22" width="16.5703125" style="447" bestFit="1" customWidth="1"/>
    <col min="23" max="23" width="6.7109375" style="447" bestFit="1" customWidth="1"/>
    <col min="24" max="24" width="11.140625" style="447" bestFit="1" customWidth="1"/>
    <col min="25" max="25" width="11" style="447" bestFit="1" customWidth="1"/>
    <col min="26" max="26" width="11.5703125" style="447" bestFit="1" customWidth="1"/>
    <col min="27" max="27" width="12.28515625" style="447" bestFit="1" customWidth="1"/>
    <col min="28" max="28" width="12.7109375" style="447" bestFit="1" customWidth="1"/>
    <col min="29" max="29" width="15.140625" style="447" bestFit="1" customWidth="1"/>
    <col min="30" max="30" width="14.85546875" style="447" bestFit="1" customWidth="1"/>
    <col min="31" max="31" width="15.42578125" style="447" bestFit="1" customWidth="1"/>
    <col min="32" max="32" width="13.5703125" style="447" bestFit="1" customWidth="1"/>
    <col min="33" max="33" width="5.5703125" style="447" bestFit="1" customWidth="1"/>
    <col min="34" max="34" width="11.140625" style="447" bestFit="1" customWidth="1"/>
    <col min="35" max="35" width="11.28515625" style="447" bestFit="1" customWidth="1"/>
    <col min="36" max="36" width="15.5703125" style="447" bestFit="1" customWidth="1"/>
    <col min="37" max="37" width="14.42578125" style="447" bestFit="1" customWidth="1"/>
    <col min="38" max="38" width="9" style="447" bestFit="1" customWidth="1"/>
    <col min="39" max="39" width="15.140625" style="447" bestFit="1" customWidth="1"/>
    <col min="40" max="40" width="14.85546875" style="447" bestFit="1" customWidth="1"/>
    <col min="41" max="41" width="12.28515625" style="447" bestFit="1" customWidth="1"/>
    <col min="42" max="42" width="13" style="447" bestFit="1" customWidth="1"/>
    <col min="43" max="43" width="15.42578125" style="447" bestFit="1" customWidth="1"/>
    <col min="44" max="44" width="11.140625" style="447" bestFit="1" customWidth="1"/>
    <col min="45" max="45" width="4.42578125" style="447" customWidth="1"/>
    <col min="46" max="46" width="6.85546875" style="447" bestFit="1" customWidth="1"/>
    <col min="47" max="47" width="16.140625" style="447" bestFit="1" customWidth="1"/>
    <col min="48" max="48" width="8.7109375" style="447" bestFit="1" customWidth="1"/>
    <col min="49" max="49" width="13" style="447" bestFit="1" customWidth="1"/>
    <col min="50" max="50" width="15.42578125" style="448" bestFit="1" customWidth="1"/>
    <col min="51" max="51" width="15.140625" style="447" bestFit="1" customWidth="1"/>
    <col min="52" max="52" width="14.85546875" style="447" bestFit="1" customWidth="1"/>
    <col min="53" max="53" width="19.85546875" style="447" bestFit="1" customWidth="1"/>
    <col min="54" max="54" width="12.5703125" style="447" bestFit="1" customWidth="1"/>
    <col min="55" max="55" width="5.5703125" style="447" bestFit="1" customWidth="1"/>
    <col min="56" max="56" width="8.140625" style="447" bestFit="1" customWidth="1"/>
    <col min="57" max="57" width="11.140625" style="447" bestFit="1" customWidth="1"/>
    <col min="58" max="58" width="21.85546875" style="447" bestFit="1" customWidth="1"/>
    <col min="59" max="59" width="8.85546875" style="447" bestFit="1" customWidth="1"/>
    <col min="60" max="60" width="7.28515625" style="447" bestFit="1" customWidth="1"/>
    <col min="61" max="61" width="8.42578125" style="447" bestFit="1" customWidth="1"/>
    <col min="62" max="62" width="8.85546875" style="447"/>
    <col min="63" max="65" width="25.7109375" style="447" customWidth="1"/>
    <col min="66" max="199" width="8.85546875" style="447"/>
    <col min="200" max="200" width="18.28515625" style="447" customWidth="1"/>
    <col min="201" max="201" width="12.5703125" style="447" customWidth="1"/>
    <col min="202" max="202" width="8.85546875" style="447"/>
    <col min="203" max="203" width="9.5703125" style="447" customWidth="1"/>
    <col min="204" max="205" width="9.28515625" style="447" customWidth="1"/>
    <col min="206" max="206" width="9.28515625" style="447" bestFit="1" customWidth="1"/>
    <col min="207" max="207" width="10.28515625" style="447" customWidth="1"/>
    <col min="208" max="208" width="11.28515625" style="447" bestFit="1" customWidth="1"/>
    <col min="209" max="210" width="8.85546875" style="447"/>
    <col min="211" max="211" width="12.85546875" style="447" bestFit="1" customWidth="1"/>
    <col min="212" max="212" width="12.140625" style="447" bestFit="1" customWidth="1"/>
    <col min="213" max="214" width="8.85546875" style="447"/>
    <col min="215" max="215" width="11.5703125" style="447" bestFit="1" customWidth="1"/>
    <col min="216" max="216" width="8.85546875" style="447"/>
    <col min="217" max="217" width="11.5703125" style="447" bestFit="1" customWidth="1"/>
    <col min="218" max="222" width="8.85546875" style="447"/>
    <col min="223" max="223" width="11.5703125" style="447" bestFit="1" customWidth="1"/>
    <col min="224" max="244" width="8.85546875" style="447"/>
    <col min="245" max="245" width="11.5703125" style="447" bestFit="1" customWidth="1"/>
    <col min="246" max="455" width="8.85546875" style="447"/>
    <col min="456" max="456" width="18.28515625" style="447" customWidth="1"/>
    <col min="457" max="457" width="12.5703125" style="447" customWidth="1"/>
    <col min="458" max="458" width="8.85546875" style="447"/>
    <col min="459" max="459" width="9.5703125" style="447" customWidth="1"/>
    <col min="460" max="461" width="9.28515625" style="447" customWidth="1"/>
    <col min="462" max="462" width="9.28515625" style="447" bestFit="1" customWidth="1"/>
    <col min="463" max="463" width="10.28515625" style="447" customWidth="1"/>
    <col min="464" max="464" width="11.28515625" style="447" bestFit="1" customWidth="1"/>
    <col min="465" max="466" width="8.85546875" style="447"/>
    <col min="467" max="467" width="12.85546875" style="447" bestFit="1" customWidth="1"/>
    <col min="468" max="468" width="12.140625" style="447" bestFit="1" customWidth="1"/>
    <col min="469" max="470" width="8.85546875" style="447"/>
    <col min="471" max="471" width="11.5703125" style="447" bestFit="1" customWidth="1"/>
    <col min="472" max="472" width="8.85546875" style="447"/>
    <col min="473" max="473" width="11.5703125" style="447" bestFit="1" customWidth="1"/>
    <col min="474" max="478" width="8.85546875" style="447"/>
    <col min="479" max="479" width="11.5703125" style="447" bestFit="1" customWidth="1"/>
    <col min="480" max="500" width="8.85546875" style="447"/>
    <col min="501" max="501" width="11.5703125" style="447" bestFit="1" customWidth="1"/>
    <col min="502" max="711" width="8.85546875" style="447"/>
    <col min="712" max="712" width="18.28515625" style="447" customWidth="1"/>
    <col min="713" max="713" width="12.5703125" style="447" customWidth="1"/>
    <col min="714" max="714" width="8.85546875" style="447"/>
    <col min="715" max="715" width="9.5703125" style="447" customWidth="1"/>
    <col min="716" max="717" width="9.28515625" style="447" customWidth="1"/>
    <col min="718" max="718" width="9.28515625" style="447" bestFit="1" customWidth="1"/>
    <col min="719" max="719" width="10.28515625" style="447" customWidth="1"/>
    <col min="720" max="720" width="11.28515625" style="447" bestFit="1" customWidth="1"/>
    <col min="721" max="722" width="8.85546875" style="447"/>
    <col min="723" max="723" width="12.85546875" style="447" bestFit="1" customWidth="1"/>
    <col min="724" max="724" width="12.140625" style="447" bestFit="1" customWidth="1"/>
    <col min="725" max="726" width="8.85546875" style="447"/>
    <col min="727" max="727" width="11.5703125" style="447" bestFit="1" customWidth="1"/>
    <col min="728" max="728" width="8.85546875" style="447"/>
    <col min="729" max="729" width="11.5703125" style="447" bestFit="1" customWidth="1"/>
    <col min="730" max="734" width="8.85546875" style="447"/>
    <col min="735" max="735" width="11.5703125" style="447" bestFit="1" customWidth="1"/>
    <col min="736" max="756" width="8.85546875" style="447"/>
    <col min="757" max="757" width="11.5703125" style="447" bestFit="1" customWidth="1"/>
    <col min="758" max="967" width="8.85546875" style="447"/>
    <col min="968" max="968" width="18.28515625" style="447" customWidth="1"/>
    <col min="969" max="969" width="12.5703125" style="447" customWidth="1"/>
    <col min="970" max="970" width="8.85546875" style="447"/>
    <col min="971" max="971" width="9.5703125" style="447" customWidth="1"/>
    <col min="972" max="973" width="9.28515625" style="447" customWidth="1"/>
    <col min="974" max="974" width="9.28515625" style="447" bestFit="1" customWidth="1"/>
    <col min="975" max="975" width="10.28515625" style="447" customWidth="1"/>
    <col min="976" max="976" width="11.28515625" style="447" bestFit="1" customWidth="1"/>
    <col min="977" max="978" width="8.85546875" style="447"/>
    <col min="979" max="979" width="12.85546875" style="447" bestFit="1" customWidth="1"/>
    <col min="980" max="980" width="12.140625" style="447" bestFit="1" customWidth="1"/>
    <col min="981" max="982" width="8.85546875" style="447"/>
    <col min="983" max="983" width="11.5703125" style="447" bestFit="1" customWidth="1"/>
    <col min="984" max="984" width="8.85546875" style="447"/>
    <col min="985" max="985" width="11.5703125" style="447" bestFit="1" customWidth="1"/>
    <col min="986" max="990" width="8.85546875" style="447"/>
    <col min="991" max="991" width="11.5703125" style="447" bestFit="1" customWidth="1"/>
    <col min="992" max="1012" width="8.85546875" style="447"/>
    <col min="1013" max="1013" width="11.5703125" style="447" bestFit="1" customWidth="1"/>
    <col min="1014" max="1223" width="8.85546875" style="447"/>
    <col min="1224" max="1224" width="18.28515625" style="447" customWidth="1"/>
    <col min="1225" max="1225" width="12.5703125" style="447" customWidth="1"/>
    <col min="1226" max="1226" width="8.85546875" style="447"/>
    <col min="1227" max="1227" width="9.5703125" style="447" customWidth="1"/>
    <col min="1228" max="1229" width="9.28515625" style="447" customWidth="1"/>
    <col min="1230" max="1230" width="9.28515625" style="447" bestFit="1" customWidth="1"/>
    <col min="1231" max="1231" width="10.28515625" style="447" customWidth="1"/>
    <col min="1232" max="1232" width="11.28515625" style="447" bestFit="1" customWidth="1"/>
    <col min="1233" max="1234" width="8.85546875" style="447"/>
    <col min="1235" max="1235" width="12.85546875" style="447" bestFit="1" customWidth="1"/>
    <col min="1236" max="1236" width="12.140625" style="447" bestFit="1" customWidth="1"/>
    <col min="1237" max="1238" width="8.85546875" style="447"/>
    <col min="1239" max="1239" width="11.5703125" style="447" bestFit="1" customWidth="1"/>
    <col min="1240" max="1240" width="8.85546875" style="447"/>
    <col min="1241" max="1241" width="11.5703125" style="447" bestFit="1" customWidth="1"/>
    <col min="1242" max="1246" width="8.85546875" style="447"/>
    <col min="1247" max="1247" width="11.5703125" style="447" bestFit="1" customWidth="1"/>
    <col min="1248" max="1268" width="8.85546875" style="447"/>
    <col min="1269" max="1269" width="11.5703125" style="447" bestFit="1" customWidth="1"/>
    <col min="1270" max="1479" width="8.85546875" style="447"/>
    <col min="1480" max="1480" width="18.28515625" style="447" customWidth="1"/>
    <col min="1481" max="1481" width="12.5703125" style="447" customWidth="1"/>
    <col min="1482" max="1482" width="8.85546875" style="447"/>
    <col min="1483" max="1483" width="9.5703125" style="447" customWidth="1"/>
    <col min="1484" max="1485" width="9.28515625" style="447" customWidth="1"/>
    <col min="1486" max="1486" width="9.28515625" style="447" bestFit="1" customWidth="1"/>
    <col min="1487" max="1487" width="10.28515625" style="447" customWidth="1"/>
    <col min="1488" max="1488" width="11.28515625" style="447" bestFit="1" customWidth="1"/>
    <col min="1489" max="1490" width="8.85546875" style="447"/>
    <col min="1491" max="1491" width="12.85546875" style="447" bestFit="1" customWidth="1"/>
    <col min="1492" max="1492" width="12.140625" style="447" bestFit="1" customWidth="1"/>
    <col min="1493" max="1494" width="8.85546875" style="447"/>
    <col min="1495" max="1495" width="11.5703125" style="447" bestFit="1" customWidth="1"/>
    <col min="1496" max="1496" width="8.85546875" style="447"/>
    <col min="1497" max="1497" width="11.5703125" style="447" bestFit="1" customWidth="1"/>
    <col min="1498" max="1502" width="8.85546875" style="447"/>
    <col min="1503" max="1503" width="11.5703125" style="447" bestFit="1" customWidth="1"/>
    <col min="1504" max="1524" width="8.85546875" style="447"/>
    <col min="1525" max="1525" width="11.5703125" style="447" bestFit="1" customWidth="1"/>
    <col min="1526" max="1735" width="8.85546875" style="447"/>
    <col min="1736" max="1736" width="18.28515625" style="447" customWidth="1"/>
    <col min="1737" max="1737" width="12.5703125" style="447" customWidth="1"/>
    <col min="1738" max="1738" width="8.85546875" style="447"/>
    <col min="1739" max="1739" width="9.5703125" style="447" customWidth="1"/>
    <col min="1740" max="1741" width="9.28515625" style="447" customWidth="1"/>
    <col min="1742" max="1742" width="9.28515625" style="447" bestFit="1" customWidth="1"/>
    <col min="1743" max="1743" width="10.28515625" style="447" customWidth="1"/>
    <col min="1744" max="1744" width="11.28515625" style="447" bestFit="1" customWidth="1"/>
    <col min="1745" max="1746" width="8.85546875" style="447"/>
    <col min="1747" max="1747" width="12.85546875" style="447" bestFit="1" customWidth="1"/>
    <col min="1748" max="1748" width="12.140625" style="447" bestFit="1" customWidth="1"/>
    <col min="1749" max="1750" width="8.85546875" style="447"/>
    <col min="1751" max="1751" width="11.5703125" style="447" bestFit="1" customWidth="1"/>
    <col min="1752" max="1752" width="8.85546875" style="447"/>
    <col min="1753" max="1753" width="11.5703125" style="447" bestFit="1" customWidth="1"/>
    <col min="1754" max="1758" width="8.85546875" style="447"/>
    <col min="1759" max="1759" width="11.5703125" style="447" bestFit="1" customWidth="1"/>
    <col min="1760" max="1780" width="8.85546875" style="447"/>
    <col min="1781" max="1781" width="11.5703125" style="447" bestFit="1" customWidth="1"/>
    <col min="1782" max="1991" width="8.85546875" style="447"/>
    <col min="1992" max="1992" width="18.28515625" style="447" customWidth="1"/>
    <col min="1993" max="1993" width="12.5703125" style="447" customWidth="1"/>
    <col min="1994" max="1994" width="8.85546875" style="447"/>
    <col min="1995" max="1995" width="9.5703125" style="447" customWidth="1"/>
    <col min="1996" max="1997" width="9.28515625" style="447" customWidth="1"/>
    <col min="1998" max="1998" width="9.28515625" style="447" bestFit="1" customWidth="1"/>
    <col min="1999" max="1999" width="10.28515625" style="447" customWidth="1"/>
    <col min="2000" max="2000" width="11.28515625" style="447" bestFit="1" customWidth="1"/>
    <col min="2001" max="2002" width="8.85546875" style="447"/>
    <col min="2003" max="2003" width="12.85546875" style="447" bestFit="1" customWidth="1"/>
    <col min="2004" max="2004" width="12.140625" style="447" bestFit="1" customWidth="1"/>
    <col min="2005" max="2006" width="8.85546875" style="447"/>
    <col min="2007" max="2007" width="11.5703125" style="447" bestFit="1" customWidth="1"/>
    <col min="2008" max="2008" width="8.85546875" style="447"/>
    <col min="2009" max="2009" width="11.5703125" style="447" bestFit="1" customWidth="1"/>
    <col min="2010" max="2014" width="8.85546875" style="447"/>
    <col min="2015" max="2015" width="11.5703125" style="447" bestFit="1" customWidth="1"/>
    <col min="2016" max="2036" width="8.85546875" style="447"/>
    <col min="2037" max="2037" width="11.5703125" style="447" bestFit="1" customWidth="1"/>
    <col min="2038" max="2247" width="8.85546875" style="447"/>
    <col min="2248" max="2248" width="18.28515625" style="447" customWidth="1"/>
    <col min="2249" max="2249" width="12.5703125" style="447" customWidth="1"/>
    <col min="2250" max="2250" width="8.85546875" style="447"/>
    <col min="2251" max="2251" width="9.5703125" style="447" customWidth="1"/>
    <col min="2252" max="2253" width="9.28515625" style="447" customWidth="1"/>
    <col min="2254" max="2254" width="9.28515625" style="447" bestFit="1" customWidth="1"/>
    <col min="2255" max="2255" width="10.28515625" style="447" customWidth="1"/>
    <col min="2256" max="2256" width="11.28515625" style="447" bestFit="1" customWidth="1"/>
    <col min="2257" max="2258" width="8.85546875" style="447"/>
    <col min="2259" max="2259" width="12.85546875" style="447" bestFit="1" customWidth="1"/>
    <col min="2260" max="2260" width="12.140625" style="447" bestFit="1" customWidth="1"/>
    <col min="2261" max="2262" width="8.85546875" style="447"/>
    <col min="2263" max="2263" width="11.5703125" style="447" bestFit="1" customWidth="1"/>
    <col min="2264" max="2264" width="8.85546875" style="447"/>
    <col min="2265" max="2265" width="11.5703125" style="447" bestFit="1" customWidth="1"/>
    <col min="2266" max="2270" width="8.85546875" style="447"/>
    <col min="2271" max="2271" width="11.5703125" style="447" bestFit="1" customWidth="1"/>
    <col min="2272" max="2292" width="8.85546875" style="447"/>
    <col min="2293" max="2293" width="11.5703125" style="447" bestFit="1" customWidth="1"/>
    <col min="2294" max="2503" width="8.85546875" style="447"/>
    <col min="2504" max="2504" width="18.28515625" style="447" customWidth="1"/>
    <col min="2505" max="2505" width="12.5703125" style="447" customWidth="1"/>
    <col min="2506" max="2506" width="8.85546875" style="447"/>
    <col min="2507" max="2507" width="9.5703125" style="447" customWidth="1"/>
    <col min="2508" max="2509" width="9.28515625" style="447" customWidth="1"/>
    <col min="2510" max="2510" width="9.28515625" style="447" bestFit="1" customWidth="1"/>
    <col min="2511" max="2511" width="10.28515625" style="447" customWidth="1"/>
    <col min="2512" max="2512" width="11.28515625" style="447" bestFit="1" customWidth="1"/>
    <col min="2513" max="2514" width="8.85546875" style="447"/>
    <col min="2515" max="2515" width="12.85546875" style="447" bestFit="1" customWidth="1"/>
    <col min="2516" max="2516" width="12.140625" style="447" bestFit="1" customWidth="1"/>
    <col min="2517" max="2518" width="8.85546875" style="447"/>
    <col min="2519" max="2519" width="11.5703125" style="447" bestFit="1" customWidth="1"/>
    <col min="2520" max="2520" width="8.85546875" style="447"/>
    <col min="2521" max="2521" width="11.5703125" style="447" bestFit="1" customWidth="1"/>
    <col min="2522" max="2526" width="8.85546875" style="447"/>
    <col min="2527" max="2527" width="11.5703125" style="447" bestFit="1" customWidth="1"/>
    <col min="2528" max="2548" width="8.85546875" style="447"/>
    <col min="2549" max="2549" width="11.5703125" style="447" bestFit="1" customWidth="1"/>
    <col min="2550" max="2759" width="8.85546875" style="447"/>
    <col min="2760" max="2760" width="18.28515625" style="447" customWidth="1"/>
    <col min="2761" max="2761" width="12.5703125" style="447" customWidth="1"/>
    <col min="2762" max="2762" width="8.85546875" style="447"/>
    <col min="2763" max="2763" width="9.5703125" style="447" customWidth="1"/>
    <col min="2764" max="2765" width="9.28515625" style="447" customWidth="1"/>
    <col min="2766" max="2766" width="9.28515625" style="447" bestFit="1" customWidth="1"/>
    <col min="2767" max="2767" width="10.28515625" style="447" customWidth="1"/>
    <col min="2768" max="2768" width="11.28515625" style="447" bestFit="1" customWidth="1"/>
    <col min="2769" max="2770" width="8.85546875" style="447"/>
    <col min="2771" max="2771" width="12.85546875" style="447" bestFit="1" customWidth="1"/>
    <col min="2772" max="2772" width="12.140625" style="447" bestFit="1" customWidth="1"/>
    <col min="2773" max="2774" width="8.85546875" style="447"/>
    <col min="2775" max="2775" width="11.5703125" style="447" bestFit="1" customWidth="1"/>
    <col min="2776" max="2776" width="8.85546875" style="447"/>
    <col min="2777" max="2777" width="11.5703125" style="447" bestFit="1" customWidth="1"/>
    <col min="2778" max="2782" width="8.85546875" style="447"/>
    <col min="2783" max="2783" width="11.5703125" style="447" bestFit="1" customWidth="1"/>
    <col min="2784" max="2804" width="8.85546875" style="447"/>
    <col min="2805" max="2805" width="11.5703125" style="447" bestFit="1" customWidth="1"/>
    <col min="2806" max="3015" width="8.85546875" style="447"/>
    <col min="3016" max="3016" width="18.28515625" style="447" customWidth="1"/>
    <col min="3017" max="3017" width="12.5703125" style="447" customWidth="1"/>
    <col min="3018" max="3018" width="8.85546875" style="447"/>
    <col min="3019" max="3019" width="9.5703125" style="447" customWidth="1"/>
    <col min="3020" max="3021" width="9.28515625" style="447" customWidth="1"/>
    <col min="3022" max="3022" width="9.28515625" style="447" bestFit="1" customWidth="1"/>
    <col min="3023" max="3023" width="10.28515625" style="447" customWidth="1"/>
    <col min="3024" max="3024" width="11.28515625" style="447" bestFit="1" customWidth="1"/>
    <col min="3025" max="3026" width="8.85546875" style="447"/>
    <col min="3027" max="3027" width="12.85546875" style="447" bestFit="1" customWidth="1"/>
    <col min="3028" max="3028" width="12.140625" style="447" bestFit="1" customWidth="1"/>
    <col min="3029" max="3030" width="8.85546875" style="447"/>
    <col min="3031" max="3031" width="11.5703125" style="447" bestFit="1" customWidth="1"/>
    <col min="3032" max="3032" width="8.85546875" style="447"/>
    <col min="3033" max="3033" width="11.5703125" style="447" bestFit="1" customWidth="1"/>
    <col min="3034" max="3038" width="8.85546875" style="447"/>
    <col min="3039" max="3039" width="11.5703125" style="447" bestFit="1" customWidth="1"/>
    <col min="3040" max="3060" width="8.85546875" style="447"/>
    <col min="3061" max="3061" width="11.5703125" style="447" bestFit="1" customWidth="1"/>
    <col min="3062" max="3271" width="8.85546875" style="447"/>
    <col min="3272" max="3272" width="18.28515625" style="447" customWidth="1"/>
    <col min="3273" max="3273" width="12.5703125" style="447" customWidth="1"/>
    <col min="3274" max="3274" width="8.85546875" style="447"/>
    <col min="3275" max="3275" width="9.5703125" style="447" customWidth="1"/>
    <col min="3276" max="3277" width="9.28515625" style="447" customWidth="1"/>
    <col min="3278" max="3278" width="9.28515625" style="447" bestFit="1" customWidth="1"/>
    <col min="3279" max="3279" width="10.28515625" style="447" customWidth="1"/>
    <col min="3280" max="3280" width="11.28515625" style="447" bestFit="1" customWidth="1"/>
    <col min="3281" max="3282" width="8.85546875" style="447"/>
    <col min="3283" max="3283" width="12.85546875" style="447" bestFit="1" customWidth="1"/>
    <col min="3284" max="3284" width="12.140625" style="447" bestFit="1" customWidth="1"/>
    <col min="3285" max="3286" width="8.85546875" style="447"/>
    <col min="3287" max="3287" width="11.5703125" style="447" bestFit="1" customWidth="1"/>
    <col min="3288" max="3288" width="8.85546875" style="447"/>
    <col min="3289" max="3289" width="11.5703125" style="447" bestFit="1" customWidth="1"/>
    <col min="3290" max="3294" width="8.85546875" style="447"/>
    <col min="3295" max="3295" width="11.5703125" style="447" bestFit="1" customWidth="1"/>
    <col min="3296" max="3316" width="8.85546875" style="447"/>
    <col min="3317" max="3317" width="11.5703125" style="447" bestFit="1" customWidth="1"/>
    <col min="3318" max="3527" width="8.85546875" style="447"/>
    <col min="3528" max="3528" width="18.28515625" style="447" customWidth="1"/>
    <col min="3529" max="3529" width="12.5703125" style="447" customWidth="1"/>
    <col min="3530" max="3530" width="8.85546875" style="447"/>
    <col min="3531" max="3531" width="9.5703125" style="447" customWidth="1"/>
    <col min="3532" max="3533" width="9.28515625" style="447" customWidth="1"/>
    <col min="3534" max="3534" width="9.28515625" style="447" bestFit="1" customWidth="1"/>
    <col min="3535" max="3535" width="10.28515625" style="447" customWidth="1"/>
    <col min="3536" max="3536" width="11.28515625" style="447" bestFit="1" customWidth="1"/>
    <col min="3537" max="3538" width="8.85546875" style="447"/>
    <col min="3539" max="3539" width="12.85546875" style="447" bestFit="1" customWidth="1"/>
    <col min="3540" max="3540" width="12.140625" style="447" bestFit="1" customWidth="1"/>
    <col min="3541" max="3542" width="8.85546875" style="447"/>
    <col min="3543" max="3543" width="11.5703125" style="447" bestFit="1" customWidth="1"/>
    <col min="3544" max="3544" width="8.85546875" style="447"/>
    <col min="3545" max="3545" width="11.5703125" style="447" bestFit="1" customWidth="1"/>
    <col min="3546" max="3550" width="8.85546875" style="447"/>
    <col min="3551" max="3551" width="11.5703125" style="447" bestFit="1" customWidth="1"/>
    <col min="3552" max="3572" width="8.85546875" style="447"/>
    <col min="3573" max="3573" width="11.5703125" style="447" bestFit="1" customWidth="1"/>
    <col min="3574" max="3783" width="8.85546875" style="447"/>
    <col min="3784" max="3784" width="18.28515625" style="447" customWidth="1"/>
    <col min="3785" max="3785" width="12.5703125" style="447" customWidth="1"/>
    <col min="3786" max="3786" width="8.85546875" style="447"/>
    <col min="3787" max="3787" width="9.5703125" style="447" customWidth="1"/>
    <col min="3788" max="3789" width="9.28515625" style="447" customWidth="1"/>
    <col min="3790" max="3790" width="9.28515625" style="447" bestFit="1" customWidth="1"/>
    <col min="3791" max="3791" width="10.28515625" style="447" customWidth="1"/>
    <col min="3792" max="3792" width="11.28515625" style="447" bestFit="1" customWidth="1"/>
    <col min="3793" max="3794" width="8.85546875" style="447"/>
    <col min="3795" max="3795" width="12.85546875" style="447" bestFit="1" customWidth="1"/>
    <col min="3796" max="3796" width="12.140625" style="447" bestFit="1" customWidth="1"/>
    <col min="3797" max="3798" width="8.85546875" style="447"/>
    <col min="3799" max="3799" width="11.5703125" style="447" bestFit="1" customWidth="1"/>
    <col min="3800" max="3800" width="8.85546875" style="447"/>
    <col min="3801" max="3801" width="11.5703125" style="447" bestFit="1" customWidth="1"/>
    <col min="3802" max="3806" width="8.85546875" style="447"/>
    <col min="3807" max="3807" width="11.5703125" style="447" bestFit="1" customWidth="1"/>
    <col min="3808" max="3828" width="8.85546875" style="447"/>
    <col min="3829" max="3829" width="11.5703125" style="447" bestFit="1" customWidth="1"/>
    <col min="3830" max="4039" width="8.85546875" style="447"/>
    <col min="4040" max="4040" width="18.28515625" style="447" customWidth="1"/>
    <col min="4041" max="4041" width="12.5703125" style="447" customWidth="1"/>
    <col min="4042" max="4042" width="8.85546875" style="447"/>
    <col min="4043" max="4043" width="9.5703125" style="447" customWidth="1"/>
    <col min="4044" max="4045" width="9.28515625" style="447" customWidth="1"/>
    <col min="4046" max="4046" width="9.28515625" style="447" bestFit="1" customWidth="1"/>
    <col min="4047" max="4047" width="10.28515625" style="447" customWidth="1"/>
    <col min="4048" max="4048" width="11.28515625" style="447" bestFit="1" customWidth="1"/>
    <col min="4049" max="4050" width="8.85546875" style="447"/>
    <col min="4051" max="4051" width="12.85546875" style="447" bestFit="1" customWidth="1"/>
    <col min="4052" max="4052" width="12.140625" style="447" bestFit="1" customWidth="1"/>
    <col min="4053" max="4054" width="8.85546875" style="447"/>
    <col min="4055" max="4055" width="11.5703125" style="447" bestFit="1" customWidth="1"/>
    <col min="4056" max="4056" width="8.85546875" style="447"/>
    <col min="4057" max="4057" width="11.5703125" style="447" bestFit="1" customWidth="1"/>
    <col min="4058" max="4062" width="8.85546875" style="447"/>
    <col min="4063" max="4063" width="11.5703125" style="447" bestFit="1" customWidth="1"/>
    <col min="4064" max="4084" width="8.85546875" style="447"/>
    <col min="4085" max="4085" width="11.5703125" style="447" bestFit="1" customWidth="1"/>
    <col min="4086" max="4295" width="8.85546875" style="447"/>
    <col min="4296" max="4296" width="18.28515625" style="447" customWidth="1"/>
    <col min="4297" max="4297" width="12.5703125" style="447" customWidth="1"/>
    <col min="4298" max="4298" width="8.85546875" style="447"/>
    <col min="4299" max="4299" width="9.5703125" style="447" customWidth="1"/>
    <col min="4300" max="4301" width="9.28515625" style="447" customWidth="1"/>
    <col min="4302" max="4302" width="9.28515625" style="447" bestFit="1" customWidth="1"/>
    <col min="4303" max="4303" width="10.28515625" style="447" customWidth="1"/>
    <col min="4304" max="4304" width="11.28515625" style="447" bestFit="1" customWidth="1"/>
    <col min="4305" max="4306" width="8.85546875" style="447"/>
    <col min="4307" max="4307" width="12.85546875" style="447" bestFit="1" customWidth="1"/>
    <col min="4308" max="4308" width="12.140625" style="447" bestFit="1" customWidth="1"/>
    <col min="4309" max="4310" width="8.85546875" style="447"/>
    <col min="4311" max="4311" width="11.5703125" style="447" bestFit="1" customWidth="1"/>
    <col min="4312" max="4312" width="8.85546875" style="447"/>
    <col min="4313" max="4313" width="11.5703125" style="447" bestFit="1" customWidth="1"/>
    <col min="4314" max="4318" width="8.85546875" style="447"/>
    <col min="4319" max="4319" width="11.5703125" style="447" bestFit="1" customWidth="1"/>
    <col min="4320" max="4340" width="8.85546875" style="447"/>
    <col min="4341" max="4341" width="11.5703125" style="447" bestFit="1" customWidth="1"/>
    <col min="4342" max="4551" width="8.85546875" style="447"/>
    <col min="4552" max="4552" width="18.28515625" style="447" customWidth="1"/>
    <col min="4553" max="4553" width="12.5703125" style="447" customWidth="1"/>
    <col min="4554" max="4554" width="8.85546875" style="447"/>
    <col min="4555" max="4555" width="9.5703125" style="447" customWidth="1"/>
    <col min="4556" max="4557" width="9.28515625" style="447" customWidth="1"/>
    <col min="4558" max="4558" width="9.28515625" style="447" bestFit="1" customWidth="1"/>
    <col min="4559" max="4559" width="10.28515625" style="447" customWidth="1"/>
    <col min="4560" max="4560" width="11.28515625" style="447" bestFit="1" customWidth="1"/>
    <col min="4561" max="4562" width="8.85546875" style="447"/>
    <col min="4563" max="4563" width="12.85546875" style="447" bestFit="1" customWidth="1"/>
    <col min="4564" max="4564" width="12.140625" style="447" bestFit="1" customWidth="1"/>
    <col min="4565" max="4566" width="8.85546875" style="447"/>
    <col min="4567" max="4567" width="11.5703125" style="447" bestFit="1" customWidth="1"/>
    <col min="4568" max="4568" width="8.85546875" style="447"/>
    <col min="4569" max="4569" width="11.5703125" style="447" bestFit="1" customWidth="1"/>
    <col min="4570" max="4574" width="8.85546875" style="447"/>
    <col min="4575" max="4575" width="11.5703125" style="447" bestFit="1" customWidth="1"/>
    <col min="4576" max="4596" width="8.85546875" style="447"/>
    <col min="4597" max="4597" width="11.5703125" style="447" bestFit="1" customWidth="1"/>
    <col min="4598" max="4807" width="8.85546875" style="447"/>
    <col min="4808" max="4808" width="18.28515625" style="447" customWidth="1"/>
    <col min="4809" max="4809" width="12.5703125" style="447" customWidth="1"/>
    <col min="4810" max="4810" width="8.85546875" style="447"/>
    <col min="4811" max="4811" width="9.5703125" style="447" customWidth="1"/>
    <col min="4812" max="4813" width="9.28515625" style="447" customWidth="1"/>
    <col min="4814" max="4814" width="9.28515625" style="447" bestFit="1" customWidth="1"/>
    <col min="4815" max="4815" width="10.28515625" style="447" customWidth="1"/>
    <col min="4816" max="4816" width="11.28515625" style="447" bestFit="1" customWidth="1"/>
    <col min="4817" max="4818" width="8.85546875" style="447"/>
    <col min="4819" max="4819" width="12.85546875" style="447" bestFit="1" customWidth="1"/>
    <col min="4820" max="4820" width="12.140625" style="447" bestFit="1" customWidth="1"/>
    <col min="4821" max="4822" width="8.85546875" style="447"/>
    <col min="4823" max="4823" width="11.5703125" style="447" bestFit="1" customWidth="1"/>
    <col min="4824" max="4824" width="8.85546875" style="447"/>
    <col min="4825" max="4825" width="11.5703125" style="447" bestFit="1" customWidth="1"/>
    <col min="4826" max="4830" width="8.85546875" style="447"/>
    <col min="4831" max="4831" width="11.5703125" style="447" bestFit="1" customWidth="1"/>
    <col min="4832" max="4852" width="8.85546875" style="447"/>
    <col min="4853" max="4853" width="11.5703125" style="447" bestFit="1" customWidth="1"/>
    <col min="4854" max="5063" width="8.85546875" style="447"/>
    <col min="5064" max="5064" width="18.28515625" style="447" customWidth="1"/>
    <col min="5065" max="5065" width="12.5703125" style="447" customWidth="1"/>
    <col min="5066" max="5066" width="8.85546875" style="447"/>
    <col min="5067" max="5067" width="9.5703125" style="447" customWidth="1"/>
    <col min="5068" max="5069" width="9.28515625" style="447" customWidth="1"/>
    <col min="5070" max="5070" width="9.28515625" style="447" bestFit="1" customWidth="1"/>
    <col min="5071" max="5071" width="10.28515625" style="447" customWidth="1"/>
    <col min="5072" max="5072" width="11.28515625" style="447" bestFit="1" customWidth="1"/>
    <col min="5073" max="5074" width="8.85546875" style="447"/>
    <col min="5075" max="5075" width="12.85546875" style="447" bestFit="1" customWidth="1"/>
    <col min="5076" max="5076" width="12.140625" style="447" bestFit="1" customWidth="1"/>
    <col min="5077" max="5078" width="8.85546875" style="447"/>
    <col min="5079" max="5079" width="11.5703125" style="447" bestFit="1" customWidth="1"/>
    <col min="5080" max="5080" width="8.85546875" style="447"/>
    <col min="5081" max="5081" width="11.5703125" style="447" bestFit="1" customWidth="1"/>
    <col min="5082" max="5086" width="8.85546875" style="447"/>
    <col min="5087" max="5087" width="11.5703125" style="447" bestFit="1" customWidth="1"/>
    <col min="5088" max="5108" width="8.85546875" style="447"/>
    <col min="5109" max="5109" width="11.5703125" style="447" bestFit="1" customWidth="1"/>
    <col min="5110" max="5319" width="8.85546875" style="447"/>
    <col min="5320" max="5320" width="18.28515625" style="447" customWidth="1"/>
    <col min="5321" max="5321" width="12.5703125" style="447" customWidth="1"/>
    <col min="5322" max="5322" width="8.85546875" style="447"/>
    <col min="5323" max="5323" width="9.5703125" style="447" customWidth="1"/>
    <col min="5324" max="5325" width="9.28515625" style="447" customWidth="1"/>
    <col min="5326" max="5326" width="9.28515625" style="447" bestFit="1" customWidth="1"/>
    <col min="5327" max="5327" width="10.28515625" style="447" customWidth="1"/>
    <col min="5328" max="5328" width="11.28515625" style="447" bestFit="1" customWidth="1"/>
    <col min="5329" max="5330" width="8.85546875" style="447"/>
    <col min="5331" max="5331" width="12.85546875" style="447" bestFit="1" customWidth="1"/>
    <col min="5332" max="5332" width="12.140625" style="447" bestFit="1" customWidth="1"/>
    <col min="5333" max="5334" width="8.85546875" style="447"/>
    <col min="5335" max="5335" width="11.5703125" style="447" bestFit="1" customWidth="1"/>
    <col min="5336" max="5336" width="8.85546875" style="447"/>
    <col min="5337" max="5337" width="11.5703125" style="447" bestFit="1" customWidth="1"/>
    <col min="5338" max="5342" width="8.85546875" style="447"/>
    <col min="5343" max="5343" width="11.5703125" style="447" bestFit="1" customWidth="1"/>
    <col min="5344" max="5364" width="8.85546875" style="447"/>
    <col min="5365" max="5365" width="11.5703125" style="447" bestFit="1" customWidth="1"/>
    <col min="5366" max="5575" width="8.85546875" style="447"/>
    <col min="5576" max="5576" width="18.28515625" style="447" customWidth="1"/>
    <col min="5577" max="5577" width="12.5703125" style="447" customWidth="1"/>
    <col min="5578" max="5578" width="8.85546875" style="447"/>
    <col min="5579" max="5579" width="9.5703125" style="447" customWidth="1"/>
    <col min="5580" max="5581" width="9.28515625" style="447" customWidth="1"/>
    <col min="5582" max="5582" width="9.28515625" style="447" bestFit="1" customWidth="1"/>
    <col min="5583" max="5583" width="10.28515625" style="447" customWidth="1"/>
    <col min="5584" max="5584" width="11.28515625" style="447" bestFit="1" customWidth="1"/>
    <col min="5585" max="5586" width="8.85546875" style="447"/>
    <col min="5587" max="5587" width="12.85546875" style="447" bestFit="1" customWidth="1"/>
    <col min="5588" max="5588" width="12.140625" style="447" bestFit="1" customWidth="1"/>
    <col min="5589" max="5590" width="8.85546875" style="447"/>
    <col min="5591" max="5591" width="11.5703125" style="447" bestFit="1" customWidth="1"/>
    <col min="5592" max="5592" width="8.85546875" style="447"/>
    <col min="5593" max="5593" width="11.5703125" style="447" bestFit="1" customWidth="1"/>
    <col min="5594" max="5598" width="8.85546875" style="447"/>
    <col min="5599" max="5599" width="11.5703125" style="447" bestFit="1" customWidth="1"/>
    <col min="5600" max="5620" width="8.85546875" style="447"/>
    <col min="5621" max="5621" width="11.5703125" style="447" bestFit="1" customWidth="1"/>
    <col min="5622" max="5831" width="8.85546875" style="447"/>
    <col min="5832" max="5832" width="18.28515625" style="447" customWidth="1"/>
    <col min="5833" max="5833" width="12.5703125" style="447" customWidth="1"/>
    <col min="5834" max="5834" width="8.85546875" style="447"/>
    <col min="5835" max="5835" width="9.5703125" style="447" customWidth="1"/>
    <col min="5836" max="5837" width="9.28515625" style="447" customWidth="1"/>
    <col min="5838" max="5838" width="9.28515625" style="447" bestFit="1" customWidth="1"/>
    <col min="5839" max="5839" width="10.28515625" style="447" customWidth="1"/>
    <col min="5840" max="5840" width="11.28515625" style="447" bestFit="1" customWidth="1"/>
    <col min="5841" max="5842" width="8.85546875" style="447"/>
    <col min="5843" max="5843" width="12.85546875" style="447" bestFit="1" customWidth="1"/>
    <col min="5844" max="5844" width="12.140625" style="447" bestFit="1" customWidth="1"/>
    <col min="5845" max="5846" width="8.85546875" style="447"/>
    <col min="5847" max="5847" width="11.5703125" style="447" bestFit="1" customWidth="1"/>
    <col min="5848" max="5848" width="8.85546875" style="447"/>
    <col min="5849" max="5849" width="11.5703125" style="447" bestFit="1" customWidth="1"/>
    <col min="5850" max="5854" width="8.85546875" style="447"/>
    <col min="5855" max="5855" width="11.5703125" style="447" bestFit="1" customWidth="1"/>
    <col min="5856" max="5876" width="8.85546875" style="447"/>
    <col min="5877" max="5877" width="11.5703125" style="447" bestFit="1" customWidth="1"/>
    <col min="5878" max="6087" width="8.85546875" style="447"/>
    <col min="6088" max="6088" width="18.28515625" style="447" customWidth="1"/>
    <col min="6089" max="6089" width="12.5703125" style="447" customWidth="1"/>
    <col min="6090" max="6090" width="8.85546875" style="447"/>
    <col min="6091" max="6091" width="9.5703125" style="447" customWidth="1"/>
    <col min="6092" max="6093" width="9.28515625" style="447" customWidth="1"/>
    <col min="6094" max="6094" width="9.28515625" style="447" bestFit="1" customWidth="1"/>
    <col min="6095" max="6095" width="10.28515625" style="447" customWidth="1"/>
    <col min="6096" max="6096" width="11.28515625" style="447" bestFit="1" customWidth="1"/>
    <col min="6097" max="6098" width="8.85546875" style="447"/>
    <col min="6099" max="6099" width="12.85546875" style="447" bestFit="1" customWidth="1"/>
    <col min="6100" max="6100" width="12.140625" style="447" bestFit="1" customWidth="1"/>
    <col min="6101" max="6102" width="8.85546875" style="447"/>
    <col min="6103" max="6103" width="11.5703125" style="447" bestFit="1" customWidth="1"/>
    <col min="6104" max="6104" width="8.85546875" style="447"/>
    <col min="6105" max="6105" width="11.5703125" style="447" bestFit="1" customWidth="1"/>
    <col min="6106" max="6110" width="8.85546875" style="447"/>
    <col min="6111" max="6111" width="11.5703125" style="447" bestFit="1" customWidth="1"/>
    <col min="6112" max="6132" width="8.85546875" style="447"/>
    <col min="6133" max="6133" width="11.5703125" style="447" bestFit="1" customWidth="1"/>
    <col min="6134" max="6343" width="8.85546875" style="447"/>
    <col min="6344" max="6344" width="18.28515625" style="447" customWidth="1"/>
    <col min="6345" max="6345" width="12.5703125" style="447" customWidth="1"/>
    <col min="6346" max="6346" width="8.85546875" style="447"/>
    <col min="6347" max="6347" width="9.5703125" style="447" customWidth="1"/>
    <col min="6348" max="6349" width="9.28515625" style="447" customWidth="1"/>
    <col min="6350" max="6350" width="9.28515625" style="447" bestFit="1" customWidth="1"/>
    <col min="6351" max="6351" width="10.28515625" style="447" customWidth="1"/>
    <col min="6352" max="6352" width="11.28515625" style="447" bestFit="1" customWidth="1"/>
    <col min="6353" max="6354" width="8.85546875" style="447"/>
    <col min="6355" max="6355" width="12.85546875" style="447" bestFit="1" customWidth="1"/>
    <col min="6356" max="6356" width="12.140625" style="447" bestFit="1" customWidth="1"/>
    <col min="6357" max="6358" width="8.85546875" style="447"/>
    <col min="6359" max="6359" width="11.5703125" style="447" bestFit="1" customWidth="1"/>
    <col min="6360" max="6360" width="8.85546875" style="447"/>
    <col min="6361" max="6361" width="11.5703125" style="447" bestFit="1" customWidth="1"/>
    <col min="6362" max="6366" width="8.85546875" style="447"/>
    <col min="6367" max="6367" width="11.5703125" style="447" bestFit="1" customWidth="1"/>
    <col min="6368" max="6388" width="8.85546875" style="447"/>
    <col min="6389" max="6389" width="11.5703125" style="447" bestFit="1" customWidth="1"/>
    <col min="6390" max="6599" width="8.85546875" style="447"/>
    <col min="6600" max="6600" width="18.28515625" style="447" customWidth="1"/>
    <col min="6601" max="6601" width="12.5703125" style="447" customWidth="1"/>
    <col min="6602" max="6602" width="8.85546875" style="447"/>
    <col min="6603" max="6603" width="9.5703125" style="447" customWidth="1"/>
    <col min="6604" max="6605" width="9.28515625" style="447" customWidth="1"/>
    <col min="6606" max="6606" width="9.28515625" style="447" bestFit="1" customWidth="1"/>
    <col min="6607" max="6607" width="10.28515625" style="447" customWidth="1"/>
    <col min="6608" max="6608" width="11.28515625" style="447" bestFit="1" customWidth="1"/>
    <col min="6609" max="6610" width="8.85546875" style="447"/>
    <col min="6611" max="6611" width="12.85546875" style="447" bestFit="1" customWidth="1"/>
    <col min="6612" max="6612" width="12.140625" style="447" bestFit="1" customWidth="1"/>
    <col min="6613" max="6614" width="8.85546875" style="447"/>
    <col min="6615" max="6615" width="11.5703125" style="447" bestFit="1" customWidth="1"/>
    <col min="6616" max="6616" width="8.85546875" style="447"/>
    <col min="6617" max="6617" width="11.5703125" style="447" bestFit="1" customWidth="1"/>
    <col min="6618" max="6622" width="8.85546875" style="447"/>
    <col min="6623" max="6623" width="11.5703125" style="447" bestFit="1" customWidth="1"/>
    <col min="6624" max="6644" width="8.85546875" style="447"/>
    <col min="6645" max="6645" width="11.5703125" style="447" bestFit="1" customWidth="1"/>
    <col min="6646" max="6855" width="8.85546875" style="447"/>
    <col min="6856" max="6856" width="18.28515625" style="447" customWidth="1"/>
    <col min="6857" max="6857" width="12.5703125" style="447" customWidth="1"/>
    <col min="6858" max="6858" width="8.85546875" style="447"/>
    <col min="6859" max="6859" width="9.5703125" style="447" customWidth="1"/>
    <col min="6860" max="6861" width="9.28515625" style="447" customWidth="1"/>
    <col min="6862" max="6862" width="9.28515625" style="447" bestFit="1" customWidth="1"/>
    <col min="6863" max="6863" width="10.28515625" style="447" customWidth="1"/>
    <col min="6864" max="6864" width="11.28515625" style="447" bestFit="1" customWidth="1"/>
    <col min="6865" max="6866" width="8.85546875" style="447"/>
    <col min="6867" max="6867" width="12.85546875" style="447" bestFit="1" customWidth="1"/>
    <col min="6868" max="6868" width="12.140625" style="447" bestFit="1" customWidth="1"/>
    <col min="6869" max="6870" width="8.85546875" style="447"/>
    <col min="6871" max="6871" width="11.5703125" style="447" bestFit="1" customWidth="1"/>
    <col min="6872" max="6872" width="8.85546875" style="447"/>
    <col min="6873" max="6873" width="11.5703125" style="447" bestFit="1" customWidth="1"/>
    <col min="6874" max="6878" width="8.85546875" style="447"/>
    <col min="6879" max="6879" width="11.5703125" style="447" bestFit="1" customWidth="1"/>
    <col min="6880" max="6900" width="8.85546875" style="447"/>
    <col min="6901" max="6901" width="11.5703125" style="447" bestFit="1" customWidth="1"/>
    <col min="6902" max="7111" width="8.85546875" style="447"/>
    <col min="7112" max="7112" width="18.28515625" style="447" customWidth="1"/>
    <col min="7113" max="7113" width="12.5703125" style="447" customWidth="1"/>
    <col min="7114" max="7114" width="8.85546875" style="447"/>
    <col min="7115" max="7115" width="9.5703125" style="447" customWidth="1"/>
    <col min="7116" max="7117" width="9.28515625" style="447" customWidth="1"/>
    <col min="7118" max="7118" width="9.28515625" style="447" bestFit="1" customWidth="1"/>
    <col min="7119" max="7119" width="10.28515625" style="447" customWidth="1"/>
    <col min="7120" max="7120" width="11.28515625" style="447" bestFit="1" customWidth="1"/>
    <col min="7121" max="7122" width="8.85546875" style="447"/>
    <col min="7123" max="7123" width="12.85546875" style="447" bestFit="1" customWidth="1"/>
    <col min="7124" max="7124" width="12.140625" style="447" bestFit="1" customWidth="1"/>
    <col min="7125" max="7126" width="8.85546875" style="447"/>
    <col min="7127" max="7127" width="11.5703125" style="447" bestFit="1" customWidth="1"/>
    <col min="7128" max="7128" width="8.85546875" style="447"/>
    <col min="7129" max="7129" width="11.5703125" style="447" bestFit="1" customWidth="1"/>
    <col min="7130" max="7134" width="8.85546875" style="447"/>
    <col min="7135" max="7135" width="11.5703125" style="447" bestFit="1" customWidth="1"/>
    <col min="7136" max="7156" width="8.85546875" style="447"/>
    <col min="7157" max="7157" width="11.5703125" style="447" bestFit="1" customWidth="1"/>
    <col min="7158" max="7367" width="8.85546875" style="447"/>
    <col min="7368" max="7368" width="18.28515625" style="447" customWidth="1"/>
    <col min="7369" max="7369" width="12.5703125" style="447" customWidth="1"/>
    <col min="7370" max="7370" width="8.85546875" style="447"/>
    <col min="7371" max="7371" width="9.5703125" style="447" customWidth="1"/>
    <col min="7372" max="7373" width="9.28515625" style="447" customWidth="1"/>
    <col min="7374" max="7374" width="9.28515625" style="447" bestFit="1" customWidth="1"/>
    <col min="7375" max="7375" width="10.28515625" style="447" customWidth="1"/>
    <col min="7376" max="7376" width="11.28515625" style="447" bestFit="1" customWidth="1"/>
    <col min="7377" max="7378" width="8.85546875" style="447"/>
    <col min="7379" max="7379" width="12.85546875" style="447" bestFit="1" customWidth="1"/>
    <col min="7380" max="7380" width="12.140625" style="447" bestFit="1" customWidth="1"/>
    <col min="7381" max="7382" width="8.85546875" style="447"/>
    <col min="7383" max="7383" width="11.5703125" style="447" bestFit="1" customWidth="1"/>
    <col min="7384" max="7384" width="8.85546875" style="447"/>
    <col min="7385" max="7385" width="11.5703125" style="447" bestFit="1" customWidth="1"/>
    <col min="7386" max="7390" width="8.85546875" style="447"/>
    <col min="7391" max="7391" width="11.5703125" style="447" bestFit="1" customWidth="1"/>
    <col min="7392" max="7412" width="8.85546875" style="447"/>
    <col min="7413" max="7413" width="11.5703125" style="447" bestFit="1" customWidth="1"/>
    <col min="7414" max="7623" width="8.85546875" style="447"/>
    <col min="7624" max="7624" width="18.28515625" style="447" customWidth="1"/>
    <col min="7625" max="7625" width="12.5703125" style="447" customWidth="1"/>
    <col min="7626" max="7626" width="8.85546875" style="447"/>
    <col min="7627" max="7627" width="9.5703125" style="447" customWidth="1"/>
    <col min="7628" max="7629" width="9.28515625" style="447" customWidth="1"/>
    <col min="7630" max="7630" width="9.28515625" style="447" bestFit="1" customWidth="1"/>
    <col min="7631" max="7631" width="10.28515625" style="447" customWidth="1"/>
    <col min="7632" max="7632" width="11.28515625" style="447" bestFit="1" customWidth="1"/>
    <col min="7633" max="7634" width="8.85546875" style="447"/>
    <col min="7635" max="7635" width="12.85546875" style="447" bestFit="1" customWidth="1"/>
    <col min="7636" max="7636" width="12.140625" style="447" bestFit="1" customWidth="1"/>
    <col min="7637" max="7638" width="8.85546875" style="447"/>
    <col min="7639" max="7639" width="11.5703125" style="447" bestFit="1" customWidth="1"/>
    <col min="7640" max="7640" width="8.85546875" style="447"/>
    <col min="7641" max="7641" width="11.5703125" style="447" bestFit="1" customWidth="1"/>
    <col min="7642" max="7646" width="8.85546875" style="447"/>
    <col min="7647" max="7647" width="11.5703125" style="447" bestFit="1" customWidth="1"/>
    <col min="7648" max="7668" width="8.85546875" style="447"/>
    <col min="7669" max="7669" width="11.5703125" style="447" bestFit="1" customWidth="1"/>
    <col min="7670" max="7879" width="8.85546875" style="447"/>
    <col min="7880" max="7880" width="18.28515625" style="447" customWidth="1"/>
    <col min="7881" max="7881" width="12.5703125" style="447" customWidth="1"/>
    <col min="7882" max="7882" width="8.85546875" style="447"/>
    <col min="7883" max="7883" width="9.5703125" style="447" customWidth="1"/>
    <col min="7884" max="7885" width="9.28515625" style="447" customWidth="1"/>
    <col min="7886" max="7886" width="9.28515625" style="447" bestFit="1" customWidth="1"/>
    <col min="7887" max="7887" width="10.28515625" style="447" customWidth="1"/>
    <col min="7888" max="7888" width="11.28515625" style="447" bestFit="1" customWidth="1"/>
    <col min="7889" max="7890" width="8.85546875" style="447"/>
    <col min="7891" max="7891" width="12.85546875" style="447" bestFit="1" customWidth="1"/>
    <col min="7892" max="7892" width="12.140625" style="447" bestFit="1" customWidth="1"/>
    <col min="7893" max="7894" width="8.85546875" style="447"/>
    <col min="7895" max="7895" width="11.5703125" style="447" bestFit="1" customWidth="1"/>
    <col min="7896" max="7896" width="8.85546875" style="447"/>
    <col min="7897" max="7897" width="11.5703125" style="447" bestFit="1" customWidth="1"/>
    <col min="7898" max="7902" width="8.85546875" style="447"/>
    <col min="7903" max="7903" width="11.5703125" style="447" bestFit="1" customWidth="1"/>
    <col min="7904" max="7924" width="8.85546875" style="447"/>
    <col min="7925" max="7925" width="11.5703125" style="447" bestFit="1" customWidth="1"/>
    <col min="7926" max="8135" width="8.85546875" style="447"/>
    <col min="8136" max="8136" width="18.28515625" style="447" customWidth="1"/>
    <col min="8137" max="8137" width="12.5703125" style="447" customWidth="1"/>
    <col min="8138" max="8138" width="8.85546875" style="447"/>
    <col min="8139" max="8139" width="9.5703125" style="447" customWidth="1"/>
    <col min="8140" max="8141" width="9.28515625" style="447" customWidth="1"/>
    <col min="8142" max="8142" width="9.28515625" style="447" bestFit="1" customWidth="1"/>
    <col min="8143" max="8143" width="10.28515625" style="447" customWidth="1"/>
    <col min="8144" max="8144" width="11.28515625" style="447" bestFit="1" customWidth="1"/>
    <col min="8145" max="8146" width="8.85546875" style="447"/>
    <col min="8147" max="8147" width="12.85546875" style="447" bestFit="1" customWidth="1"/>
    <col min="8148" max="8148" width="12.140625" style="447" bestFit="1" customWidth="1"/>
    <col min="8149" max="8150" width="8.85546875" style="447"/>
    <col min="8151" max="8151" width="11.5703125" style="447" bestFit="1" customWidth="1"/>
    <col min="8152" max="8152" width="8.85546875" style="447"/>
    <col min="8153" max="8153" width="11.5703125" style="447" bestFit="1" customWidth="1"/>
    <col min="8154" max="8158" width="8.85546875" style="447"/>
    <col min="8159" max="8159" width="11.5703125" style="447" bestFit="1" customWidth="1"/>
    <col min="8160" max="8180" width="8.85546875" style="447"/>
    <col min="8181" max="8181" width="11.5703125" style="447" bestFit="1" customWidth="1"/>
    <col min="8182" max="8391" width="8.85546875" style="447"/>
    <col min="8392" max="8392" width="18.28515625" style="447" customWidth="1"/>
    <col min="8393" max="8393" width="12.5703125" style="447" customWidth="1"/>
    <col min="8394" max="8394" width="8.85546875" style="447"/>
    <col min="8395" max="8395" width="9.5703125" style="447" customWidth="1"/>
    <col min="8396" max="8397" width="9.28515625" style="447" customWidth="1"/>
    <col min="8398" max="8398" width="9.28515625" style="447" bestFit="1" customWidth="1"/>
    <col min="8399" max="8399" width="10.28515625" style="447" customWidth="1"/>
    <col min="8400" max="8400" width="11.28515625" style="447" bestFit="1" customWidth="1"/>
    <col min="8401" max="8402" width="8.85546875" style="447"/>
    <col min="8403" max="8403" width="12.85546875" style="447" bestFit="1" customWidth="1"/>
    <col min="8404" max="8404" width="12.140625" style="447" bestFit="1" customWidth="1"/>
    <col min="8405" max="8406" width="8.85546875" style="447"/>
    <col min="8407" max="8407" width="11.5703125" style="447" bestFit="1" customWidth="1"/>
    <col min="8408" max="8408" width="8.85546875" style="447"/>
    <col min="8409" max="8409" width="11.5703125" style="447" bestFit="1" customWidth="1"/>
    <col min="8410" max="8414" width="8.85546875" style="447"/>
    <col min="8415" max="8415" width="11.5703125" style="447" bestFit="1" customWidth="1"/>
    <col min="8416" max="8436" width="8.85546875" style="447"/>
    <col min="8437" max="8437" width="11.5703125" style="447" bestFit="1" customWidth="1"/>
    <col min="8438" max="8647" width="8.85546875" style="447"/>
    <col min="8648" max="8648" width="18.28515625" style="447" customWidth="1"/>
    <col min="8649" max="8649" width="12.5703125" style="447" customWidth="1"/>
    <col min="8650" max="8650" width="8.85546875" style="447"/>
    <col min="8651" max="8651" width="9.5703125" style="447" customWidth="1"/>
    <col min="8652" max="8653" width="9.28515625" style="447" customWidth="1"/>
    <col min="8654" max="8654" width="9.28515625" style="447" bestFit="1" customWidth="1"/>
    <col min="8655" max="8655" width="10.28515625" style="447" customWidth="1"/>
    <col min="8656" max="8656" width="11.28515625" style="447" bestFit="1" customWidth="1"/>
    <col min="8657" max="8658" width="8.85546875" style="447"/>
    <col min="8659" max="8659" width="12.85546875" style="447" bestFit="1" customWidth="1"/>
    <col min="8660" max="8660" width="12.140625" style="447" bestFit="1" customWidth="1"/>
    <col min="8661" max="8662" width="8.85546875" style="447"/>
    <col min="8663" max="8663" width="11.5703125" style="447" bestFit="1" customWidth="1"/>
    <col min="8664" max="8664" width="8.85546875" style="447"/>
    <col min="8665" max="8665" width="11.5703125" style="447" bestFit="1" customWidth="1"/>
    <col min="8666" max="8670" width="8.85546875" style="447"/>
    <col min="8671" max="8671" width="11.5703125" style="447" bestFit="1" customWidth="1"/>
    <col min="8672" max="8692" width="8.85546875" style="447"/>
    <col min="8693" max="8693" width="11.5703125" style="447" bestFit="1" customWidth="1"/>
    <col min="8694" max="8903" width="8.85546875" style="447"/>
    <col min="8904" max="8904" width="18.28515625" style="447" customWidth="1"/>
    <col min="8905" max="8905" width="12.5703125" style="447" customWidth="1"/>
    <col min="8906" max="8906" width="8.85546875" style="447"/>
    <col min="8907" max="8907" width="9.5703125" style="447" customWidth="1"/>
    <col min="8908" max="8909" width="9.28515625" style="447" customWidth="1"/>
    <col min="8910" max="8910" width="9.28515625" style="447" bestFit="1" customWidth="1"/>
    <col min="8911" max="8911" width="10.28515625" style="447" customWidth="1"/>
    <col min="8912" max="8912" width="11.28515625" style="447" bestFit="1" customWidth="1"/>
    <col min="8913" max="8914" width="8.85546875" style="447"/>
    <col min="8915" max="8915" width="12.85546875" style="447" bestFit="1" customWidth="1"/>
    <col min="8916" max="8916" width="12.140625" style="447" bestFit="1" customWidth="1"/>
    <col min="8917" max="8918" width="8.85546875" style="447"/>
    <col min="8919" max="8919" width="11.5703125" style="447" bestFit="1" customWidth="1"/>
    <col min="8920" max="8920" width="8.85546875" style="447"/>
    <col min="8921" max="8921" width="11.5703125" style="447" bestFit="1" customWidth="1"/>
    <col min="8922" max="8926" width="8.85546875" style="447"/>
    <col min="8927" max="8927" width="11.5703125" style="447" bestFit="1" customWidth="1"/>
    <col min="8928" max="8948" width="8.85546875" style="447"/>
    <col min="8949" max="8949" width="11.5703125" style="447" bestFit="1" customWidth="1"/>
    <col min="8950" max="9159" width="8.85546875" style="447"/>
    <col min="9160" max="9160" width="18.28515625" style="447" customWidth="1"/>
    <col min="9161" max="9161" width="12.5703125" style="447" customWidth="1"/>
    <col min="9162" max="9162" width="8.85546875" style="447"/>
    <col min="9163" max="9163" width="9.5703125" style="447" customWidth="1"/>
    <col min="9164" max="9165" width="9.28515625" style="447" customWidth="1"/>
    <col min="9166" max="9166" width="9.28515625" style="447" bestFit="1" customWidth="1"/>
    <col min="9167" max="9167" width="10.28515625" style="447" customWidth="1"/>
    <col min="9168" max="9168" width="11.28515625" style="447" bestFit="1" customWidth="1"/>
    <col min="9169" max="9170" width="8.85546875" style="447"/>
    <col min="9171" max="9171" width="12.85546875" style="447" bestFit="1" customWidth="1"/>
    <col min="9172" max="9172" width="12.140625" style="447" bestFit="1" customWidth="1"/>
    <col min="9173" max="9174" width="8.85546875" style="447"/>
    <col min="9175" max="9175" width="11.5703125" style="447" bestFit="1" customWidth="1"/>
    <col min="9176" max="9176" width="8.85546875" style="447"/>
    <col min="9177" max="9177" width="11.5703125" style="447" bestFit="1" customWidth="1"/>
    <col min="9178" max="9182" width="8.85546875" style="447"/>
    <col min="9183" max="9183" width="11.5703125" style="447" bestFit="1" customWidth="1"/>
    <col min="9184" max="9204" width="8.85546875" style="447"/>
    <col min="9205" max="9205" width="11.5703125" style="447" bestFit="1" customWidth="1"/>
    <col min="9206" max="9415" width="8.85546875" style="447"/>
    <col min="9416" max="9416" width="18.28515625" style="447" customWidth="1"/>
    <col min="9417" max="9417" width="12.5703125" style="447" customWidth="1"/>
    <col min="9418" max="9418" width="8.85546875" style="447"/>
    <col min="9419" max="9419" width="9.5703125" style="447" customWidth="1"/>
    <col min="9420" max="9421" width="9.28515625" style="447" customWidth="1"/>
    <col min="9422" max="9422" width="9.28515625" style="447" bestFit="1" customWidth="1"/>
    <col min="9423" max="9423" width="10.28515625" style="447" customWidth="1"/>
    <col min="9424" max="9424" width="11.28515625" style="447" bestFit="1" customWidth="1"/>
    <col min="9425" max="9426" width="8.85546875" style="447"/>
    <col min="9427" max="9427" width="12.85546875" style="447" bestFit="1" customWidth="1"/>
    <col min="9428" max="9428" width="12.140625" style="447" bestFit="1" customWidth="1"/>
    <col min="9429" max="9430" width="8.85546875" style="447"/>
    <col min="9431" max="9431" width="11.5703125" style="447" bestFit="1" customWidth="1"/>
    <col min="9432" max="9432" width="8.85546875" style="447"/>
    <col min="9433" max="9433" width="11.5703125" style="447" bestFit="1" customWidth="1"/>
    <col min="9434" max="9438" width="8.85546875" style="447"/>
    <col min="9439" max="9439" width="11.5703125" style="447" bestFit="1" customWidth="1"/>
    <col min="9440" max="9460" width="8.85546875" style="447"/>
    <col min="9461" max="9461" width="11.5703125" style="447" bestFit="1" customWidth="1"/>
    <col min="9462" max="9671" width="8.85546875" style="447"/>
    <col min="9672" max="9672" width="18.28515625" style="447" customWidth="1"/>
    <col min="9673" max="9673" width="12.5703125" style="447" customWidth="1"/>
    <col min="9674" max="9674" width="8.85546875" style="447"/>
    <col min="9675" max="9675" width="9.5703125" style="447" customWidth="1"/>
    <col min="9676" max="9677" width="9.28515625" style="447" customWidth="1"/>
    <col min="9678" max="9678" width="9.28515625" style="447" bestFit="1" customWidth="1"/>
    <col min="9679" max="9679" width="10.28515625" style="447" customWidth="1"/>
    <col min="9680" max="9680" width="11.28515625" style="447" bestFit="1" customWidth="1"/>
    <col min="9681" max="9682" width="8.85546875" style="447"/>
    <col min="9683" max="9683" width="12.85546875" style="447" bestFit="1" customWidth="1"/>
    <col min="9684" max="9684" width="12.140625" style="447" bestFit="1" customWidth="1"/>
    <col min="9685" max="9686" width="8.85546875" style="447"/>
    <col min="9687" max="9687" width="11.5703125" style="447" bestFit="1" customWidth="1"/>
    <col min="9688" max="9688" width="8.85546875" style="447"/>
    <col min="9689" max="9689" width="11.5703125" style="447" bestFit="1" customWidth="1"/>
    <col min="9690" max="9694" width="8.85546875" style="447"/>
    <col min="9695" max="9695" width="11.5703125" style="447" bestFit="1" customWidth="1"/>
    <col min="9696" max="9716" width="8.85546875" style="447"/>
    <col min="9717" max="9717" width="11.5703125" style="447" bestFit="1" customWidth="1"/>
    <col min="9718" max="9927" width="8.85546875" style="447"/>
    <col min="9928" max="9928" width="18.28515625" style="447" customWidth="1"/>
    <col min="9929" max="9929" width="12.5703125" style="447" customWidth="1"/>
    <col min="9930" max="9930" width="8.85546875" style="447"/>
    <col min="9931" max="9931" width="9.5703125" style="447" customWidth="1"/>
    <col min="9932" max="9933" width="9.28515625" style="447" customWidth="1"/>
    <col min="9934" max="9934" width="9.28515625" style="447" bestFit="1" customWidth="1"/>
    <col min="9935" max="9935" width="10.28515625" style="447" customWidth="1"/>
    <col min="9936" max="9936" width="11.28515625" style="447" bestFit="1" customWidth="1"/>
    <col min="9937" max="9938" width="8.85546875" style="447"/>
    <col min="9939" max="9939" width="12.85546875" style="447" bestFit="1" customWidth="1"/>
    <col min="9940" max="9940" width="12.140625" style="447" bestFit="1" customWidth="1"/>
    <col min="9941" max="9942" width="8.85546875" style="447"/>
    <col min="9943" max="9943" width="11.5703125" style="447" bestFit="1" customWidth="1"/>
    <col min="9944" max="9944" width="8.85546875" style="447"/>
    <col min="9945" max="9945" width="11.5703125" style="447" bestFit="1" customWidth="1"/>
    <col min="9946" max="9950" width="8.85546875" style="447"/>
    <col min="9951" max="9951" width="11.5703125" style="447" bestFit="1" customWidth="1"/>
    <col min="9952" max="9972" width="8.85546875" style="447"/>
    <col min="9973" max="9973" width="11.5703125" style="447" bestFit="1" customWidth="1"/>
    <col min="9974" max="10183" width="8.85546875" style="447"/>
    <col min="10184" max="10184" width="18.28515625" style="447" customWidth="1"/>
    <col min="10185" max="10185" width="12.5703125" style="447" customWidth="1"/>
    <col min="10186" max="10186" width="8.85546875" style="447"/>
    <col min="10187" max="10187" width="9.5703125" style="447" customWidth="1"/>
    <col min="10188" max="10189" width="9.28515625" style="447" customWidth="1"/>
    <col min="10190" max="10190" width="9.28515625" style="447" bestFit="1" customWidth="1"/>
    <col min="10191" max="10191" width="10.28515625" style="447" customWidth="1"/>
    <col min="10192" max="10192" width="11.28515625" style="447" bestFit="1" customWidth="1"/>
    <col min="10193" max="10194" width="8.85546875" style="447"/>
    <col min="10195" max="10195" width="12.85546875" style="447" bestFit="1" customWidth="1"/>
    <col min="10196" max="10196" width="12.140625" style="447" bestFit="1" customWidth="1"/>
    <col min="10197" max="10198" width="8.85546875" style="447"/>
    <col min="10199" max="10199" width="11.5703125" style="447" bestFit="1" customWidth="1"/>
    <col min="10200" max="10200" width="8.85546875" style="447"/>
    <col min="10201" max="10201" width="11.5703125" style="447" bestFit="1" customWidth="1"/>
    <col min="10202" max="10206" width="8.85546875" style="447"/>
    <col min="10207" max="10207" width="11.5703125" style="447" bestFit="1" customWidth="1"/>
    <col min="10208" max="10228" width="8.85546875" style="447"/>
    <col min="10229" max="10229" width="11.5703125" style="447" bestFit="1" customWidth="1"/>
    <col min="10230" max="10439" width="8.85546875" style="447"/>
    <col min="10440" max="10440" width="18.28515625" style="447" customWidth="1"/>
    <col min="10441" max="10441" width="12.5703125" style="447" customWidth="1"/>
    <col min="10442" max="10442" width="8.85546875" style="447"/>
    <col min="10443" max="10443" width="9.5703125" style="447" customWidth="1"/>
    <col min="10444" max="10445" width="9.28515625" style="447" customWidth="1"/>
    <col min="10446" max="10446" width="9.28515625" style="447" bestFit="1" customWidth="1"/>
    <col min="10447" max="10447" width="10.28515625" style="447" customWidth="1"/>
    <col min="10448" max="10448" width="11.28515625" style="447" bestFit="1" customWidth="1"/>
    <col min="10449" max="10450" width="8.85546875" style="447"/>
    <col min="10451" max="10451" width="12.85546875" style="447" bestFit="1" customWidth="1"/>
    <col min="10452" max="10452" width="12.140625" style="447" bestFit="1" customWidth="1"/>
    <col min="10453" max="10454" width="8.85546875" style="447"/>
    <col min="10455" max="10455" width="11.5703125" style="447" bestFit="1" customWidth="1"/>
    <col min="10456" max="10456" width="8.85546875" style="447"/>
    <col min="10457" max="10457" width="11.5703125" style="447" bestFit="1" customWidth="1"/>
    <col min="10458" max="10462" width="8.85546875" style="447"/>
    <col min="10463" max="10463" width="11.5703125" style="447" bestFit="1" customWidth="1"/>
    <col min="10464" max="10484" width="8.85546875" style="447"/>
    <col min="10485" max="10485" width="11.5703125" style="447" bestFit="1" customWidth="1"/>
    <col min="10486" max="10695" width="8.85546875" style="447"/>
    <col min="10696" max="10696" width="18.28515625" style="447" customWidth="1"/>
    <col min="10697" max="10697" width="12.5703125" style="447" customWidth="1"/>
    <col min="10698" max="10698" width="8.85546875" style="447"/>
    <col min="10699" max="10699" width="9.5703125" style="447" customWidth="1"/>
    <col min="10700" max="10701" width="9.28515625" style="447" customWidth="1"/>
    <col min="10702" max="10702" width="9.28515625" style="447" bestFit="1" customWidth="1"/>
    <col min="10703" max="10703" width="10.28515625" style="447" customWidth="1"/>
    <col min="10704" max="10704" width="11.28515625" style="447" bestFit="1" customWidth="1"/>
    <col min="10705" max="10706" width="8.85546875" style="447"/>
    <col min="10707" max="10707" width="12.85546875" style="447" bestFit="1" customWidth="1"/>
    <col min="10708" max="10708" width="12.140625" style="447" bestFit="1" customWidth="1"/>
    <col min="10709" max="10710" width="8.85546875" style="447"/>
    <col min="10711" max="10711" width="11.5703125" style="447" bestFit="1" customWidth="1"/>
    <col min="10712" max="10712" width="8.85546875" style="447"/>
    <col min="10713" max="10713" width="11.5703125" style="447" bestFit="1" customWidth="1"/>
    <col min="10714" max="10718" width="8.85546875" style="447"/>
    <col min="10719" max="10719" width="11.5703125" style="447" bestFit="1" customWidth="1"/>
    <col min="10720" max="10740" width="8.85546875" style="447"/>
    <col min="10741" max="10741" width="11.5703125" style="447" bestFit="1" customWidth="1"/>
    <col min="10742" max="10951" width="8.85546875" style="447"/>
    <col min="10952" max="10952" width="18.28515625" style="447" customWidth="1"/>
    <col min="10953" max="10953" width="12.5703125" style="447" customWidth="1"/>
    <col min="10954" max="10954" width="8.85546875" style="447"/>
    <col min="10955" max="10955" width="9.5703125" style="447" customWidth="1"/>
    <col min="10956" max="10957" width="9.28515625" style="447" customWidth="1"/>
    <col min="10958" max="10958" width="9.28515625" style="447" bestFit="1" customWidth="1"/>
    <col min="10959" max="10959" width="10.28515625" style="447" customWidth="1"/>
    <col min="10960" max="10960" width="11.28515625" style="447" bestFit="1" customWidth="1"/>
    <col min="10961" max="10962" width="8.85546875" style="447"/>
    <col min="10963" max="10963" width="12.85546875" style="447" bestFit="1" customWidth="1"/>
    <col min="10964" max="10964" width="12.140625" style="447" bestFit="1" customWidth="1"/>
    <col min="10965" max="10966" width="8.85546875" style="447"/>
    <col min="10967" max="10967" width="11.5703125" style="447" bestFit="1" customWidth="1"/>
    <col min="10968" max="10968" width="8.85546875" style="447"/>
    <col min="10969" max="10969" width="11.5703125" style="447" bestFit="1" customWidth="1"/>
    <col min="10970" max="10974" width="8.85546875" style="447"/>
    <col min="10975" max="10975" width="11.5703125" style="447" bestFit="1" customWidth="1"/>
    <col min="10976" max="10996" width="8.85546875" style="447"/>
    <col min="10997" max="10997" width="11.5703125" style="447" bestFit="1" customWidth="1"/>
    <col min="10998" max="11207" width="8.85546875" style="447"/>
    <col min="11208" max="11208" width="18.28515625" style="447" customWidth="1"/>
    <col min="11209" max="11209" width="12.5703125" style="447" customWidth="1"/>
    <col min="11210" max="11210" width="8.85546875" style="447"/>
    <col min="11211" max="11211" width="9.5703125" style="447" customWidth="1"/>
    <col min="11212" max="11213" width="9.28515625" style="447" customWidth="1"/>
    <col min="11214" max="11214" width="9.28515625" style="447" bestFit="1" customWidth="1"/>
    <col min="11215" max="11215" width="10.28515625" style="447" customWidth="1"/>
    <col min="11216" max="11216" width="11.28515625" style="447" bestFit="1" customWidth="1"/>
    <col min="11217" max="11218" width="8.85546875" style="447"/>
    <col min="11219" max="11219" width="12.85546875" style="447" bestFit="1" customWidth="1"/>
    <col min="11220" max="11220" width="12.140625" style="447" bestFit="1" customWidth="1"/>
    <col min="11221" max="11222" width="8.85546875" style="447"/>
    <col min="11223" max="11223" width="11.5703125" style="447" bestFit="1" customWidth="1"/>
    <col min="11224" max="11224" width="8.85546875" style="447"/>
    <col min="11225" max="11225" width="11.5703125" style="447" bestFit="1" customWidth="1"/>
    <col min="11226" max="11230" width="8.85546875" style="447"/>
    <col min="11231" max="11231" width="11.5703125" style="447" bestFit="1" customWidth="1"/>
    <col min="11232" max="11252" width="8.85546875" style="447"/>
    <col min="11253" max="11253" width="11.5703125" style="447" bestFit="1" customWidth="1"/>
    <col min="11254" max="11463" width="8.85546875" style="447"/>
    <col min="11464" max="11464" width="18.28515625" style="447" customWidth="1"/>
    <col min="11465" max="11465" width="12.5703125" style="447" customWidth="1"/>
    <col min="11466" max="11466" width="8.85546875" style="447"/>
    <col min="11467" max="11467" width="9.5703125" style="447" customWidth="1"/>
    <col min="11468" max="11469" width="9.28515625" style="447" customWidth="1"/>
    <col min="11470" max="11470" width="9.28515625" style="447" bestFit="1" customWidth="1"/>
    <col min="11471" max="11471" width="10.28515625" style="447" customWidth="1"/>
    <col min="11472" max="11472" width="11.28515625" style="447" bestFit="1" customWidth="1"/>
    <col min="11473" max="11474" width="8.85546875" style="447"/>
    <col min="11475" max="11475" width="12.85546875" style="447" bestFit="1" customWidth="1"/>
    <col min="11476" max="11476" width="12.140625" style="447" bestFit="1" customWidth="1"/>
    <col min="11477" max="11478" width="8.85546875" style="447"/>
    <col min="11479" max="11479" width="11.5703125" style="447" bestFit="1" customWidth="1"/>
    <col min="11480" max="11480" width="8.85546875" style="447"/>
    <col min="11481" max="11481" width="11.5703125" style="447" bestFit="1" customWidth="1"/>
    <col min="11482" max="11486" width="8.85546875" style="447"/>
    <col min="11487" max="11487" width="11.5703125" style="447" bestFit="1" customWidth="1"/>
    <col min="11488" max="11508" width="8.85546875" style="447"/>
    <col min="11509" max="11509" width="11.5703125" style="447" bestFit="1" customWidth="1"/>
    <col min="11510" max="11719" width="8.85546875" style="447"/>
    <col min="11720" max="11720" width="18.28515625" style="447" customWidth="1"/>
    <col min="11721" max="11721" width="12.5703125" style="447" customWidth="1"/>
    <col min="11722" max="11722" width="8.85546875" style="447"/>
    <col min="11723" max="11723" width="9.5703125" style="447" customWidth="1"/>
    <col min="11724" max="11725" width="9.28515625" style="447" customWidth="1"/>
    <col min="11726" max="11726" width="9.28515625" style="447" bestFit="1" customWidth="1"/>
    <col min="11727" max="11727" width="10.28515625" style="447" customWidth="1"/>
    <col min="11728" max="11728" width="11.28515625" style="447" bestFit="1" customWidth="1"/>
    <col min="11729" max="11730" width="8.85546875" style="447"/>
    <col min="11731" max="11731" width="12.85546875" style="447" bestFit="1" customWidth="1"/>
    <col min="11732" max="11732" width="12.140625" style="447" bestFit="1" customWidth="1"/>
    <col min="11733" max="11734" width="8.85546875" style="447"/>
    <col min="11735" max="11735" width="11.5703125" style="447" bestFit="1" customWidth="1"/>
    <col min="11736" max="11736" width="8.85546875" style="447"/>
    <col min="11737" max="11737" width="11.5703125" style="447" bestFit="1" customWidth="1"/>
    <col min="11738" max="11742" width="8.85546875" style="447"/>
    <col min="11743" max="11743" width="11.5703125" style="447" bestFit="1" customWidth="1"/>
    <col min="11744" max="11764" width="8.85546875" style="447"/>
    <col min="11765" max="11765" width="11.5703125" style="447" bestFit="1" customWidth="1"/>
    <col min="11766" max="11975" width="8.85546875" style="447"/>
    <col min="11976" max="11976" width="18.28515625" style="447" customWidth="1"/>
    <col min="11977" max="11977" width="12.5703125" style="447" customWidth="1"/>
    <col min="11978" max="11978" width="8.85546875" style="447"/>
    <col min="11979" max="11979" width="9.5703125" style="447" customWidth="1"/>
    <col min="11980" max="11981" width="9.28515625" style="447" customWidth="1"/>
    <col min="11982" max="11982" width="9.28515625" style="447" bestFit="1" customWidth="1"/>
    <col min="11983" max="11983" width="10.28515625" style="447" customWidth="1"/>
    <col min="11984" max="11984" width="11.28515625" style="447" bestFit="1" customWidth="1"/>
    <col min="11985" max="11986" width="8.85546875" style="447"/>
    <col min="11987" max="11987" width="12.85546875" style="447" bestFit="1" customWidth="1"/>
    <col min="11988" max="11988" width="12.140625" style="447" bestFit="1" customWidth="1"/>
    <col min="11989" max="11990" width="8.85546875" style="447"/>
    <col min="11991" max="11991" width="11.5703125" style="447" bestFit="1" customWidth="1"/>
    <col min="11992" max="11992" width="8.85546875" style="447"/>
    <col min="11993" max="11993" width="11.5703125" style="447" bestFit="1" customWidth="1"/>
    <col min="11994" max="11998" width="8.85546875" style="447"/>
    <col min="11999" max="11999" width="11.5703125" style="447" bestFit="1" customWidth="1"/>
    <col min="12000" max="12020" width="8.85546875" style="447"/>
    <col min="12021" max="12021" width="11.5703125" style="447" bestFit="1" customWidth="1"/>
    <col min="12022" max="12231" width="8.85546875" style="447"/>
    <col min="12232" max="12232" width="18.28515625" style="447" customWidth="1"/>
    <col min="12233" max="12233" width="12.5703125" style="447" customWidth="1"/>
    <col min="12234" max="12234" width="8.85546875" style="447"/>
    <col min="12235" max="12235" width="9.5703125" style="447" customWidth="1"/>
    <col min="12236" max="12237" width="9.28515625" style="447" customWidth="1"/>
    <col min="12238" max="12238" width="9.28515625" style="447" bestFit="1" customWidth="1"/>
    <col min="12239" max="12239" width="10.28515625" style="447" customWidth="1"/>
    <col min="12240" max="12240" width="11.28515625" style="447" bestFit="1" customWidth="1"/>
    <col min="12241" max="12242" width="8.85546875" style="447"/>
    <col min="12243" max="12243" width="12.85546875" style="447" bestFit="1" customWidth="1"/>
    <col min="12244" max="12244" width="12.140625" style="447" bestFit="1" customWidth="1"/>
    <col min="12245" max="12246" width="8.85546875" style="447"/>
    <col min="12247" max="12247" width="11.5703125" style="447" bestFit="1" customWidth="1"/>
    <col min="12248" max="12248" width="8.85546875" style="447"/>
    <col min="12249" max="12249" width="11.5703125" style="447" bestFit="1" customWidth="1"/>
    <col min="12250" max="12254" width="8.85546875" style="447"/>
    <col min="12255" max="12255" width="11.5703125" style="447" bestFit="1" customWidth="1"/>
    <col min="12256" max="12276" width="8.85546875" style="447"/>
    <col min="12277" max="12277" width="11.5703125" style="447" bestFit="1" customWidth="1"/>
    <col min="12278" max="12487" width="8.85546875" style="447"/>
    <col min="12488" max="12488" width="18.28515625" style="447" customWidth="1"/>
    <col min="12489" max="12489" width="12.5703125" style="447" customWidth="1"/>
    <col min="12490" max="12490" width="8.85546875" style="447"/>
    <col min="12491" max="12491" width="9.5703125" style="447" customWidth="1"/>
    <col min="12492" max="12493" width="9.28515625" style="447" customWidth="1"/>
    <col min="12494" max="12494" width="9.28515625" style="447" bestFit="1" customWidth="1"/>
    <col min="12495" max="12495" width="10.28515625" style="447" customWidth="1"/>
    <col min="12496" max="12496" width="11.28515625" style="447" bestFit="1" customWidth="1"/>
    <col min="12497" max="12498" width="8.85546875" style="447"/>
    <col min="12499" max="12499" width="12.85546875" style="447" bestFit="1" customWidth="1"/>
    <col min="12500" max="12500" width="12.140625" style="447" bestFit="1" customWidth="1"/>
    <col min="12501" max="12502" width="8.85546875" style="447"/>
    <col min="12503" max="12503" width="11.5703125" style="447" bestFit="1" customWidth="1"/>
    <col min="12504" max="12504" width="8.85546875" style="447"/>
    <col min="12505" max="12505" width="11.5703125" style="447" bestFit="1" customWidth="1"/>
    <col min="12506" max="12510" width="8.85546875" style="447"/>
    <col min="12511" max="12511" width="11.5703125" style="447" bestFit="1" customWidth="1"/>
    <col min="12512" max="12532" width="8.85546875" style="447"/>
    <col min="12533" max="12533" width="11.5703125" style="447" bestFit="1" customWidth="1"/>
    <col min="12534" max="12743" width="8.85546875" style="447"/>
    <col min="12744" max="12744" width="18.28515625" style="447" customWidth="1"/>
    <col min="12745" max="12745" width="12.5703125" style="447" customWidth="1"/>
    <col min="12746" max="12746" width="8.85546875" style="447"/>
    <col min="12747" max="12747" width="9.5703125" style="447" customWidth="1"/>
    <col min="12748" max="12749" width="9.28515625" style="447" customWidth="1"/>
    <col min="12750" max="12750" width="9.28515625" style="447" bestFit="1" customWidth="1"/>
    <col min="12751" max="12751" width="10.28515625" style="447" customWidth="1"/>
    <col min="12752" max="12752" width="11.28515625" style="447" bestFit="1" customWidth="1"/>
    <col min="12753" max="12754" width="8.85546875" style="447"/>
    <col min="12755" max="12755" width="12.85546875" style="447" bestFit="1" customWidth="1"/>
    <col min="12756" max="12756" width="12.140625" style="447" bestFit="1" customWidth="1"/>
    <col min="12757" max="12758" width="8.85546875" style="447"/>
    <col min="12759" max="12759" width="11.5703125" style="447" bestFit="1" customWidth="1"/>
    <col min="12760" max="12760" width="8.85546875" style="447"/>
    <col min="12761" max="12761" width="11.5703125" style="447" bestFit="1" customWidth="1"/>
    <col min="12762" max="12766" width="8.85546875" style="447"/>
    <col min="12767" max="12767" width="11.5703125" style="447" bestFit="1" customWidth="1"/>
    <col min="12768" max="12788" width="8.85546875" style="447"/>
    <col min="12789" max="12789" width="11.5703125" style="447" bestFit="1" customWidth="1"/>
    <col min="12790" max="12999" width="8.85546875" style="447"/>
    <col min="13000" max="13000" width="18.28515625" style="447" customWidth="1"/>
    <col min="13001" max="13001" width="12.5703125" style="447" customWidth="1"/>
    <col min="13002" max="13002" width="8.85546875" style="447"/>
    <col min="13003" max="13003" width="9.5703125" style="447" customWidth="1"/>
    <col min="13004" max="13005" width="9.28515625" style="447" customWidth="1"/>
    <col min="13006" max="13006" width="9.28515625" style="447" bestFit="1" customWidth="1"/>
    <col min="13007" max="13007" width="10.28515625" style="447" customWidth="1"/>
    <col min="13008" max="13008" width="11.28515625" style="447" bestFit="1" customWidth="1"/>
    <col min="13009" max="13010" width="8.85546875" style="447"/>
    <col min="13011" max="13011" width="12.85546875" style="447" bestFit="1" customWidth="1"/>
    <col min="13012" max="13012" width="12.140625" style="447" bestFit="1" customWidth="1"/>
    <col min="13013" max="13014" width="8.85546875" style="447"/>
    <col min="13015" max="13015" width="11.5703125" style="447" bestFit="1" customWidth="1"/>
    <col min="13016" max="13016" width="8.85546875" style="447"/>
    <col min="13017" max="13017" width="11.5703125" style="447" bestFit="1" customWidth="1"/>
    <col min="13018" max="13022" width="8.85546875" style="447"/>
    <col min="13023" max="13023" width="11.5703125" style="447" bestFit="1" customWidth="1"/>
    <col min="13024" max="13044" width="8.85546875" style="447"/>
    <col min="13045" max="13045" width="11.5703125" style="447" bestFit="1" customWidth="1"/>
    <col min="13046" max="13255" width="8.85546875" style="447"/>
    <col min="13256" max="13256" width="18.28515625" style="447" customWidth="1"/>
    <col min="13257" max="13257" width="12.5703125" style="447" customWidth="1"/>
    <col min="13258" max="13258" width="8.85546875" style="447"/>
    <col min="13259" max="13259" width="9.5703125" style="447" customWidth="1"/>
    <col min="13260" max="13261" width="9.28515625" style="447" customWidth="1"/>
    <col min="13262" max="13262" width="9.28515625" style="447" bestFit="1" customWidth="1"/>
    <col min="13263" max="13263" width="10.28515625" style="447" customWidth="1"/>
    <col min="13264" max="13264" width="11.28515625" style="447" bestFit="1" customWidth="1"/>
    <col min="13265" max="13266" width="8.85546875" style="447"/>
    <col min="13267" max="13267" width="12.85546875" style="447" bestFit="1" customWidth="1"/>
    <col min="13268" max="13268" width="12.140625" style="447" bestFit="1" customWidth="1"/>
    <col min="13269" max="13270" width="8.85546875" style="447"/>
    <col min="13271" max="13271" width="11.5703125" style="447" bestFit="1" customWidth="1"/>
    <col min="13272" max="13272" width="8.85546875" style="447"/>
    <col min="13273" max="13273" width="11.5703125" style="447" bestFit="1" customWidth="1"/>
    <col min="13274" max="13278" width="8.85546875" style="447"/>
    <col min="13279" max="13279" width="11.5703125" style="447" bestFit="1" customWidth="1"/>
    <col min="13280" max="13300" width="8.85546875" style="447"/>
    <col min="13301" max="13301" width="11.5703125" style="447" bestFit="1" customWidth="1"/>
    <col min="13302" max="13511" width="8.85546875" style="447"/>
    <col min="13512" max="13512" width="18.28515625" style="447" customWidth="1"/>
    <col min="13513" max="13513" width="12.5703125" style="447" customWidth="1"/>
    <col min="13514" max="13514" width="8.85546875" style="447"/>
    <col min="13515" max="13515" width="9.5703125" style="447" customWidth="1"/>
    <col min="13516" max="13517" width="9.28515625" style="447" customWidth="1"/>
    <col min="13518" max="13518" width="9.28515625" style="447" bestFit="1" customWidth="1"/>
    <col min="13519" max="13519" width="10.28515625" style="447" customWidth="1"/>
    <col min="13520" max="13520" width="11.28515625" style="447" bestFit="1" customWidth="1"/>
    <col min="13521" max="13522" width="8.85546875" style="447"/>
    <col min="13523" max="13523" width="12.85546875" style="447" bestFit="1" customWidth="1"/>
    <col min="13524" max="13524" width="12.140625" style="447" bestFit="1" customWidth="1"/>
    <col min="13525" max="13526" width="8.85546875" style="447"/>
    <col min="13527" max="13527" width="11.5703125" style="447" bestFit="1" customWidth="1"/>
    <col min="13528" max="13528" width="8.85546875" style="447"/>
    <col min="13529" max="13529" width="11.5703125" style="447" bestFit="1" customWidth="1"/>
    <col min="13530" max="13534" width="8.85546875" style="447"/>
    <col min="13535" max="13535" width="11.5703125" style="447" bestFit="1" customWidth="1"/>
    <col min="13536" max="13556" width="8.85546875" style="447"/>
    <col min="13557" max="13557" width="11.5703125" style="447" bestFit="1" customWidth="1"/>
    <col min="13558" max="13767" width="8.85546875" style="447"/>
    <col min="13768" max="13768" width="18.28515625" style="447" customWidth="1"/>
    <col min="13769" max="13769" width="12.5703125" style="447" customWidth="1"/>
    <col min="13770" max="13770" width="8.85546875" style="447"/>
    <col min="13771" max="13771" width="9.5703125" style="447" customWidth="1"/>
    <col min="13772" max="13773" width="9.28515625" style="447" customWidth="1"/>
    <col min="13774" max="13774" width="9.28515625" style="447" bestFit="1" customWidth="1"/>
    <col min="13775" max="13775" width="10.28515625" style="447" customWidth="1"/>
    <col min="13776" max="13776" width="11.28515625" style="447" bestFit="1" customWidth="1"/>
    <col min="13777" max="13778" width="8.85546875" style="447"/>
    <col min="13779" max="13779" width="12.85546875" style="447" bestFit="1" customWidth="1"/>
    <col min="13780" max="13780" width="12.140625" style="447" bestFit="1" customWidth="1"/>
    <col min="13781" max="13782" width="8.85546875" style="447"/>
    <col min="13783" max="13783" width="11.5703125" style="447" bestFit="1" customWidth="1"/>
    <col min="13784" max="13784" width="8.85546875" style="447"/>
    <col min="13785" max="13785" width="11.5703125" style="447" bestFit="1" customWidth="1"/>
    <col min="13786" max="13790" width="8.85546875" style="447"/>
    <col min="13791" max="13791" width="11.5703125" style="447" bestFit="1" customWidth="1"/>
    <col min="13792" max="13812" width="8.85546875" style="447"/>
    <col min="13813" max="13813" width="11.5703125" style="447" bestFit="1" customWidth="1"/>
    <col min="13814" max="14023" width="8.85546875" style="447"/>
    <col min="14024" max="14024" width="18.28515625" style="447" customWidth="1"/>
    <col min="14025" max="14025" width="12.5703125" style="447" customWidth="1"/>
    <col min="14026" max="14026" width="8.85546875" style="447"/>
    <col min="14027" max="14027" width="9.5703125" style="447" customWidth="1"/>
    <col min="14028" max="14029" width="9.28515625" style="447" customWidth="1"/>
    <col min="14030" max="14030" width="9.28515625" style="447" bestFit="1" customWidth="1"/>
    <col min="14031" max="14031" width="10.28515625" style="447" customWidth="1"/>
    <col min="14032" max="14032" width="11.28515625" style="447" bestFit="1" customWidth="1"/>
    <col min="14033" max="14034" width="8.85546875" style="447"/>
    <col min="14035" max="14035" width="12.85546875" style="447" bestFit="1" customWidth="1"/>
    <col min="14036" max="14036" width="12.140625" style="447" bestFit="1" customWidth="1"/>
    <col min="14037" max="14038" width="8.85546875" style="447"/>
    <col min="14039" max="14039" width="11.5703125" style="447" bestFit="1" customWidth="1"/>
    <col min="14040" max="14040" width="8.85546875" style="447"/>
    <col min="14041" max="14041" width="11.5703125" style="447" bestFit="1" customWidth="1"/>
    <col min="14042" max="14046" width="8.85546875" style="447"/>
    <col min="14047" max="14047" width="11.5703125" style="447" bestFit="1" customWidth="1"/>
    <col min="14048" max="14068" width="8.85546875" style="447"/>
    <col min="14069" max="14069" width="11.5703125" style="447" bestFit="1" customWidth="1"/>
    <col min="14070" max="14279" width="8.85546875" style="447"/>
    <col min="14280" max="14280" width="18.28515625" style="447" customWidth="1"/>
    <col min="14281" max="14281" width="12.5703125" style="447" customWidth="1"/>
    <col min="14282" max="14282" width="8.85546875" style="447"/>
    <col min="14283" max="14283" width="9.5703125" style="447" customWidth="1"/>
    <col min="14284" max="14285" width="9.28515625" style="447" customWidth="1"/>
    <col min="14286" max="14286" width="9.28515625" style="447" bestFit="1" customWidth="1"/>
    <col min="14287" max="14287" width="10.28515625" style="447" customWidth="1"/>
    <col min="14288" max="14288" width="11.28515625" style="447" bestFit="1" customWidth="1"/>
    <col min="14289" max="14290" width="8.85546875" style="447"/>
    <col min="14291" max="14291" width="12.85546875" style="447" bestFit="1" customWidth="1"/>
    <col min="14292" max="14292" width="12.140625" style="447" bestFit="1" customWidth="1"/>
    <col min="14293" max="14294" width="8.85546875" style="447"/>
    <col min="14295" max="14295" width="11.5703125" style="447" bestFit="1" customWidth="1"/>
    <col min="14296" max="14296" width="8.85546875" style="447"/>
    <col min="14297" max="14297" width="11.5703125" style="447" bestFit="1" customWidth="1"/>
    <col min="14298" max="14302" width="8.85546875" style="447"/>
    <col min="14303" max="14303" width="11.5703125" style="447" bestFit="1" customWidth="1"/>
    <col min="14304" max="14324" width="8.85546875" style="447"/>
    <col min="14325" max="14325" width="11.5703125" style="447" bestFit="1" customWidth="1"/>
    <col min="14326" max="14535" width="8.85546875" style="447"/>
    <col min="14536" max="14536" width="18.28515625" style="447" customWidth="1"/>
    <col min="14537" max="14537" width="12.5703125" style="447" customWidth="1"/>
    <col min="14538" max="14538" width="8.85546875" style="447"/>
    <col min="14539" max="14539" width="9.5703125" style="447" customWidth="1"/>
    <col min="14540" max="14541" width="9.28515625" style="447" customWidth="1"/>
    <col min="14542" max="14542" width="9.28515625" style="447" bestFit="1" customWidth="1"/>
    <col min="14543" max="14543" width="10.28515625" style="447" customWidth="1"/>
    <col min="14544" max="14544" width="11.28515625" style="447" bestFit="1" customWidth="1"/>
    <col min="14545" max="14546" width="8.85546875" style="447"/>
    <col min="14547" max="14547" width="12.85546875" style="447" bestFit="1" customWidth="1"/>
    <col min="14548" max="14548" width="12.140625" style="447" bestFit="1" customWidth="1"/>
    <col min="14549" max="14550" width="8.85546875" style="447"/>
    <col min="14551" max="14551" width="11.5703125" style="447" bestFit="1" customWidth="1"/>
    <col min="14552" max="14552" width="8.85546875" style="447"/>
    <col min="14553" max="14553" width="11.5703125" style="447" bestFit="1" customWidth="1"/>
    <col min="14554" max="14558" width="8.85546875" style="447"/>
    <col min="14559" max="14559" width="11.5703125" style="447" bestFit="1" customWidth="1"/>
    <col min="14560" max="14580" width="8.85546875" style="447"/>
    <col min="14581" max="14581" width="11.5703125" style="447" bestFit="1" customWidth="1"/>
    <col min="14582" max="14791" width="8.85546875" style="447"/>
    <col min="14792" max="14792" width="18.28515625" style="447" customWidth="1"/>
    <col min="14793" max="14793" width="12.5703125" style="447" customWidth="1"/>
    <col min="14794" max="14794" width="8.85546875" style="447"/>
    <col min="14795" max="14795" width="9.5703125" style="447" customWidth="1"/>
    <col min="14796" max="14797" width="9.28515625" style="447" customWidth="1"/>
    <col min="14798" max="14798" width="9.28515625" style="447" bestFit="1" customWidth="1"/>
    <col min="14799" max="14799" width="10.28515625" style="447" customWidth="1"/>
    <col min="14800" max="14800" width="11.28515625" style="447" bestFit="1" customWidth="1"/>
    <col min="14801" max="14802" width="8.85546875" style="447"/>
    <col min="14803" max="14803" width="12.85546875" style="447" bestFit="1" customWidth="1"/>
    <col min="14804" max="14804" width="12.140625" style="447" bestFit="1" customWidth="1"/>
    <col min="14805" max="14806" width="8.85546875" style="447"/>
    <col min="14807" max="14807" width="11.5703125" style="447" bestFit="1" customWidth="1"/>
    <col min="14808" max="14808" width="8.85546875" style="447"/>
    <col min="14809" max="14809" width="11.5703125" style="447" bestFit="1" customWidth="1"/>
    <col min="14810" max="14814" width="8.85546875" style="447"/>
    <col min="14815" max="14815" width="11.5703125" style="447" bestFit="1" customWidth="1"/>
    <col min="14816" max="14836" width="8.85546875" style="447"/>
    <col min="14837" max="14837" width="11.5703125" style="447" bestFit="1" customWidth="1"/>
    <col min="14838" max="15047" width="8.85546875" style="447"/>
    <col min="15048" max="15048" width="18.28515625" style="447" customWidth="1"/>
    <col min="15049" max="15049" width="12.5703125" style="447" customWidth="1"/>
    <col min="15050" max="15050" width="8.85546875" style="447"/>
    <col min="15051" max="15051" width="9.5703125" style="447" customWidth="1"/>
    <col min="15052" max="15053" width="9.28515625" style="447" customWidth="1"/>
    <col min="15054" max="15054" width="9.28515625" style="447" bestFit="1" customWidth="1"/>
    <col min="15055" max="15055" width="10.28515625" style="447" customWidth="1"/>
    <col min="15056" max="15056" width="11.28515625" style="447" bestFit="1" customWidth="1"/>
    <col min="15057" max="15058" width="8.85546875" style="447"/>
    <col min="15059" max="15059" width="12.85546875" style="447" bestFit="1" customWidth="1"/>
    <col min="15060" max="15060" width="12.140625" style="447" bestFit="1" customWidth="1"/>
    <col min="15061" max="15062" width="8.85546875" style="447"/>
    <col min="15063" max="15063" width="11.5703125" style="447" bestFit="1" customWidth="1"/>
    <col min="15064" max="15064" width="8.85546875" style="447"/>
    <col min="15065" max="15065" width="11.5703125" style="447" bestFit="1" customWidth="1"/>
    <col min="15066" max="15070" width="8.85546875" style="447"/>
    <col min="15071" max="15071" width="11.5703125" style="447" bestFit="1" customWidth="1"/>
    <col min="15072" max="15092" width="8.85546875" style="447"/>
    <col min="15093" max="15093" width="11.5703125" style="447" bestFit="1" customWidth="1"/>
    <col min="15094" max="15303" width="8.85546875" style="447"/>
    <col min="15304" max="15304" width="18.28515625" style="447" customWidth="1"/>
    <col min="15305" max="15305" width="12.5703125" style="447" customWidth="1"/>
    <col min="15306" max="15306" width="8.85546875" style="447"/>
    <col min="15307" max="15307" width="9.5703125" style="447" customWidth="1"/>
    <col min="15308" max="15309" width="9.28515625" style="447" customWidth="1"/>
    <col min="15310" max="15310" width="9.28515625" style="447" bestFit="1" customWidth="1"/>
    <col min="15311" max="15311" width="10.28515625" style="447" customWidth="1"/>
    <col min="15312" max="15312" width="11.28515625" style="447" bestFit="1" customWidth="1"/>
    <col min="15313" max="15314" width="8.85546875" style="447"/>
    <col min="15315" max="15315" width="12.85546875" style="447" bestFit="1" customWidth="1"/>
    <col min="15316" max="15316" width="12.140625" style="447" bestFit="1" customWidth="1"/>
    <col min="15317" max="15318" width="8.85546875" style="447"/>
    <col min="15319" max="15319" width="11.5703125" style="447" bestFit="1" customWidth="1"/>
    <col min="15320" max="15320" width="8.85546875" style="447"/>
    <col min="15321" max="15321" width="11.5703125" style="447" bestFit="1" customWidth="1"/>
    <col min="15322" max="15326" width="8.85546875" style="447"/>
    <col min="15327" max="15327" width="11.5703125" style="447" bestFit="1" customWidth="1"/>
    <col min="15328" max="15348" width="8.85546875" style="447"/>
    <col min="15349" max="15349" width="11.5703125" style="447" bestFit="1" customWidth="1"/>
    <col min="15350" max="15559" width="8.85546875" style="447"/>
    <col min="15560" max="15560" width="18.28515625" style="447" customWidth="1"/>
    <col min="15561" max="15561" width="12.5703125" style="447" customWidth="1"/>
    <col min="15562" max="15562" width="8.85546875" style="447"/>
    <col min="15563" max="15563" width="9.5703125" style="447" customWidth="1"/>
    <col min="15564" max="15565" width="9.28515625" style="447" customWidth="1"/>
    <col min="15566" max="15566" width="9.28515625" style="447" bestFit="1" customWidth="1"/>
    <col min="15567" max="15567" width="10.28515625" style="447" customWidth="1"/>
    <col min="15568" max="15568" width="11.28515625" style="447" bestFit="1" customWidth="1"/>
    <col min="15569" max="15570" width="8.85546875" style="447"/>
    <col min="15571" max="15571" width="12.85546875" style="447" bestFit="1" customWidth="1"/>
    <col min="15572" max="15572" width="12.140625" style="447" bestFit="1" customWidth="1"/>
    <col min="15573" max="15574" width="8.85546875" style="447"/>
    <col min="15575" max="15575" width="11.5703125" style="447" bestFit="1" customWidth="1"/>
    <col min="15576" max="15576" width="8.85546875" style="447"/>
    <col min="15577" max="15577" width="11.5703125" style="447" bestFit="1" customWidth="1"/>
    <col min="15578" max="15582" width="8.85546875" style="447"/>
    <col min="15583" max="15583" width="11.5703125" style="447" bestFit="1" customWidth="1"/>
    <col min="15584" max="15604" width="8.85546875" style="447"/>
    <col min="15605" max="15605" width="11.5703125" style="447" bestFit="1" customWidth="1"/>
    <col min="15606" max="15815" width="8.85546875" style="447"/>
    <col min="15816" max="15816" width="18.28515625" style="447" customWidth="1"/>
    <col min="15817" max="15817" width="12.5703125" style="447" customWidth="1"/>
    <col min="15818" max="15818" width="8.85546875" style="447"/>
    <col min="15819" max="15819" width="9.5703125" style="447" customWidth="1"/>
    <col min="15820" max="15821" width="9.28515625" style="447" customWidth="1"/>
    <col min="15822" max="15822" width="9.28515625" style="447" bestFit="1" customWidth="1"/>
    <col min="15823" max="15823" width="10.28515625" style="447" customWidth="1"/>
    <col min="15824" max="15824" width="11.28515625" style="447" bestFit="1" customWidth="1"/>
    <col min="15825" max="15826" width="8.85546875" style="447"/>
    <col min="15827" max="15827" width="12.85546875" style="447" bestFit="1" customWidth="1"/>
    <col min="15828" max="15828" width="12.140625" style="447" bestFit="1" customWidth="1"/>
    <col min="15829" max="15830" width="8.85546875" style="447"/>
    <col min="15831" max="15831" width="11.5703125" style="447" bestFit="1" customWidth="1"/>
    <col min="15832" max="15832" width="8.85546875" style="447"/>
    <col min="15833" max="15833" width="11.5703125" style="447" bestFit="1" customWidth="1"/>
    <col min="15834" max="15838" width="8.85546875" style="447"/>
    <col min="15839" max="15839" width="11.5703125" style="447" bestFit="1" customWidth="1"/>
    <col min="15840" max="15860" width="8.85546875" style="447"/>
    <col min="15861" max="15861" width="11.5703125" style="447" bestFit="1" customWidth="1"/>
    <col min="15862" max="16071" width="8.85546875" style="447"/>
    <col min="16072" max="16072" width="18.28515625" style="447" customWidth="1"/>
    <col min="16073" max="16073" width="12.5703125" style="447" customWidth="1"/>
    <col min="16074" max="16074" width="8.85546875" style="447"/>
    <col min="16075" max="16075" width="9.5703125" style="447" customWidth="1"/>
    <col min="16076" max="16077" width="9.28515625" style="447" customWidth="1"/>
    <col min="16078" max="16078" width="9.28515625" style="447" bestFit="1" customWidth="1"/>
    <col min="16079" max="16079" width="10.28515625" style="447" customWidth="1"/>
    <col min="16080" max="16080" width="11.28515625" style="447" bestFit="1" customWidth="1"/>
    <col min="16081" max="16082" width="8.85546875" style="447"/>
    <col min="16083" max="16083" width="12.85546875" style="447" bestFit="1" customWidth="1"/>
    <col min="16084" max="16084" width="12.140625" style="447" bestFit="1" customWidth="1"/>
    <col min="16085" max="16086" width="8.85546875" style="447"/>
    <col min="16087" max="16087" width="11.5703125" style="447" bestFit="1" customWidth="1"/>
    <col min="16088" max="16088" width="8.85546875" style="447"/>
    <col min="16089" max="16089" width="11.5703125" style="447" bestFit="1" customWidth="1"/>
    <col min="16090" max="16094" width="8.85546875" style="447"/>
    <col min="16095" max="16095" width="11.5703125" style="447" bestFit="1" customWidth="1"/>
    <col min="16096" max="16116" width="8.85546875" style="447"/>
    <col min="16117" max="16117" width="11.5703125" style="447" bestFit="1" customWidth="1"/>
    <col min="16118" max="16383" width="8.85546875" style="447"/>
    <col min="16384" max="16384" width="8.85546875" style="447" customWidth="1"/>
  </cols>
  <sheetData>
    <row r="1" spans="1:61" ht="15">
      <c r="A1" s="449" t="s">
        <v>309</v>
      </c>
      <c r="B1" s="1415" t="s">
        <v>310</v>
      </c>
      <c r="C1" s="1416"/>
      <c r="D1" s="746" t="s">
        <v>617</v>
      </c>
      <c r="E1" s="996" t="s">
        <v>111</v>
      </c>
      <c r="G1" s="1400" t="s">
        <v>311</v>
      </c>
      <c r="H1" s="1401"/>
      <c r="I1" s="1401"/>
      <c r="J1" s="1401"/>
      <c r="K1" s="1401"/>
      <c r="L1" s="1401"/>
      <c r="M1" s="1401"/>
      <c r="N1" s="1401"/>
      <c r="O1" s="1402"/>
      <c r="P1" s="1400" t="s">
        <v>312</v>
      </c>
      <c r="Q1" s="1401"/>
      <c r="R1" s="1401"/>
      <c r="S1" s="1401"/>
      <c r="T1" s="1401"/>
      <c r="U1" s="1401"/>
      <c r="V1" s="1401"/>
      <c r="W1" s="1401"/>
      <c r="X1" s="1401"/>
      <c r="Y1" s="1402"/>
      <c r="Z1" s="1400" t="s">
        <v>313</v>
      </c>
      <c r="AA1" s="1401"/>
      <c r="AB1" s="1401"/>
      <c r="AC1" s="1401"/>
      <c r="AD1" s="1401"/>
      <c r="AE1" s="1401"/>
      <c r="AF1" s="1401"/>
      <c r="AG1" s="1401"/>
      <c r="AH1" s="1402"/>
      <c r="AI1" s="1400" t="s">
        <v>314</v>
      </c>
      <c r="AJ1" s="1401"/>
      <c r="AK1" s="1401"/>
      <c r="AL1" s="1401"/>
      <c r="AM1" s="1401"/>
      <c r="AN1" s="1401"/>
      <c r="AO1" s="1401"/>
      <c r="AP1" s="1401"/>
      <c r="AQ1" s="1401"/>
      <c r="AR1" s="1401"/>
      <c r="AS1" s="1401"/>
      <c r="AT1" s="1402"/>
      <c r="AU1" s="1407" t="s">
        <v>1537</v>
      </c>
      <c r="AV1" s="1401"/>
      <c r="AW1" s="1401"/>
      <c r="AX1" s="1401"/>
      <c r="AY1" s="1401"/>
      <c r="AZ1" s="1401"/>
      <c r="BA1" s="1401"/>
      <c r="BB1" s="1401"/>
      <c r="BC1" s="1401"/>
      <c r="BD1" s="1401"/>
      <c r="BE1" s="1401"/>
      <c r="BF1" s="1401"/>
      <c r="BG1" s="1401"/>
      <c r="BH1" s="1401"/>
      <c r="BI1" s="1402"/>
    </row>
    <row r="2" spans="1:61">
      <c r="A2" s="451" t="s">
        <v>271</v>
      </c>
      <c r="B2" s="452" t="s">
        <v>315</v>
      </c>
      <c r="C2" s="453" t="s">
        <v>316</v>
      </c>
      <c r="G2" s="454" t="s">
        <v>318</v>
      </c>
      <c r="H2" s="455" t="s">
        <v>319</v>
      </c>
      <c r="I2" s="455" t="s">
        <v>320</v>
      </c>
      <c r="J2" s="455" t="s">
        <v>321</v>
      </c>
      <c r="K2" s="455" t="s">
        <v>322</v>
      </c>
      <c r="L2" s="13"/>
      <c r="M2" s="13"/>
      <c r="N2" s="13"/>
      <c r="O2" s="456"/>
      <c r="P2" s="457"/>
      <c r="Q2" s="450"/>
      <c r="R2" s="458" t="s">
        <v>323</v>
      </c>
      <c r="S2" s="455" t="s">
        <v>324</v>
      </c>
      <c r="T2" s="455" t="s">
        <v>325</v>
      </c>
      <c r="U2" s="455" t="s">
        <v>326</v>
      </c>
      <c r="V2" s="455" t="s">
        <v>327</v>
      </c>
      <c r="W2" s="459"/>
      <c r="X2" s="448"/>
      <c r="Y2" s="460"/>
      <c r="Z2" s="454" t="s">
        <v>8</v>
      </c>
      <c r="AA2" s="458" t="s">
        <v>34</v>
      </c>
      <c r="AB2" s="455" t="s">
        <v>328</v>
      </c>
      <c r="AC2" s="455" t="s">
        <v>329</v>
      </c>
      <c r="AD2" s="455" t="s">
        <v>320</v>
      </c>
      <c r="AE2" s="455" t="s">
        <v>321</v>
      </c>
      <c r="AF2" s="455" t="s">
        <v>330</v>
      </c>
      <c r="AG2" s="450"/>
      <c r="AH2" s="460"/>
      <c r="AI2" s="461" t="s">
        <v>331</v>
      </c>
      <c r="AJ2" s="462" t="s">
        <v>332</v>
      </c>
      <c r="AK2" s="462" t="s">
        <v>333</v>
      </c>
      <c r="AL2" s="462" t="s">
        <v>35</v>
      </c>
      <c r="AM2" s="462" t="s">
        <v>5</v>
      </c>
      <c r="AN2" s="463" t="s">
        <v>38</v>
      </c>
      <c r="AO2" s="464" t="s">
        <v>319</v>
      </c>
      <c r="AP2" s="465" t="s">
        <v>320</v>
      </c>
      <c r="AQ2" s="465" t="s">
        <v>321</v>
      </c>
      <c r="AR2" s="466"/>
      <c r="AS2" s="467" t="s">
        <v>36</v>
      </c>
      <c r="AT2" s="468" t="s">
        <v>37</v>
      </c>
      <c r="AU2" s="469" t="s">
        <v>334</v>
      </c>
      <c r="AV2" s="1020"/>
      <c r="AW2" s="455" t="s">
        <v>320</v>
      </c>
      <c r="AX2" s="455" t="s">
        <v>321</v>
      </c>
      <c r="AY2" s="458" t="s">
        <v>335</v>
      </c>
      <c r="AZ2" s="455" t="s">
        <v>336</v>
      </c>
      <c r="BA2" s="455" t="s">
        <v>337</v>
      </c>
      <c r="BB2" s="455" t="s">
        <v>319</v>
      </c>
      <c r="BD2" s="450"/>
      <c r="BE2" s="450"/>
      <c r="BF2" s="1011"/>
      <c r="BG2" s="470"/>
      <c r="BH2" s="470"/>
      <c r="BI2" s="1007"/>
    </row>
    <row r="3" spans="1:61">
      <c r="A3" s="471" t="s">
        <v>272</v>
      </c>
      <c r="B3" s="118">
        <v>100000</v>
      </c>
      <c r="C3" s="472">
        <v>15</v>
      </c>
      <c r="D3" s="1405">
        <f>الأصل!A4</f>
        <v>0</v>
      </c>
      <c r="E3" s="1406"/>
      <c r="G3" s="995">
        <v>48</v>
      </c>
      <c r="H3" s="1000">
        <f>IF(OR(FC=USD,FC=EUR),0.07,0.0825)</f>
        <v>7.0000000000000007E-2</v>
      </c>
      <c r="I3" s="473">
        <f>H3*$E$59*$G$3/12</f>
        <v>1804.5751306165103</v>
      </c>
      <c r="J3" s="473">
        <f>$E$59+I3</f>
        <v>8249.4863113897609</v>
      </c>
      <c r="K3" s="474">
        <f>J3/$G$3</f>
        <v>171.86429815395334</v>
      </c>
      <c r="L3" s="475"/>
      <c r="M3" s="476"/>
      <c r="N3" s="476"/>
      <c r="O3" s="477"/>
      <c r="P3" s="645"/>
      <c r="Q3" s="646"/>
      <c r="R3" s="1010"/>
      <c r="S3" s="478">
        <f>(($H$3*$R$3/12)/($G$3/12)+$H$3)</f>
        <v>7.0000000000000007E-2</v>
      </c>
      <c r="T3" s="473">
        <f>S3*$E$59*$G$3/12</f>
        <v>1804.5751306165103</v>
      </c>
      <c r="U3" s="473">
        <f>$E$59+T3</f>
        <v>8249.4863113897609</v>
      </c>
      <c r="V3" s="479">
        <f>U3/$G$3</f>
        <v>171.86429815395334</v>
      </c>
      <c r="W3" s="475"/>
      <c r="X3" s="475"/>
      <c r="Y3" s="480"/>
      <c r="Z3" s="1001"/>
      <c r="AA3" s="481">
        <f>$G$3-Z3</f>
        <v>48</v>
      </c>
      <c r="AB3" s="1021"/>
      <c r="AC3" s="482">
        <f>S3+AB3</f>
        <v>7.0000000000000007E-2</v>
      </c>
      <c r="AD3" s="473">
        <f>AC3*$E$59*$G$3/12</f>
        <v>1804.5751306165103</v>
      </c>
      <c r="AE3" s="473">
        <f>$E$59+AD3</f>
        <v>8249.4863113897609</v>
      </c>
      <c r="AF3" s="1027">
        <f>AE3/AA3</f>
        <v>171.86429815395334</v>
      </c>
      <c r="AG3" s="481"/>
      <c r="AH3" s="477"/>
      <c r="AI3" s="484" t="s">
        <v>18</v>
      </c>
      <c r="AJ3" s="485">
        <f>AK3/(1+PNAVAT)</f>
        <v>0</v>
      </c>
      <c r="AK3" s="1002"/>
      <c r="AL3" s="486">
        <f>COUNTIF($AT$3:$AT$14,AI3)</f>
        <v>0</v>
      </c>
      <c r="AM3" s="486">
        <f>AJ3*AL3</f>
        <v>0</v>
      </c>
      <c r="AN3" s="487" t="e">
        <f>AM3/AL3</f>
        <v>#DIV/0!</v>
      </c>
      <c r="AO3" s="488">
        <f>((AN83-$E$59)/$E$59)/($G$3/12)</f>
        <v>7.0000000000000007E-2</v>
      </c>
      <c r="AP3" s="473">
        <f>AO3*$E$59*$G$3/12</f>
        <v>1804.5751306165103</v>
      </c>
      <c r="AQ3" s="473">
        <f>$E$59+AP3</f>
        <v>8249.4863113897609</v>
      </c>
      <c r="AR3" s="489"/>
      <c r="AS3" s="490" t="str">
        <f>H8</f>
        <v>Feb</v>
      </c>
      <c r="AT3" s="1004" t="s">
        <v>40</v>
      </c>
      <c r="AU3" s="1026">
        <f>BF81/G3</f>
        <v>199.36258585858573</v>
      </c>
      <c r="AV3" s="491"/>
      <c r="AW3" s="1013">
        <f>BB3*$E$59*$G$3/12</f>
        <v>1804.5751306165157</v>
      </c>
      <c r="AX3" s="473">
        <f>$E$59+AW3</f>
        <v>8249.4863113897663</v>
      </c>
      <c r="AY3" s="492">
        <f>AW3-AD3</f>
        <v>5.4569682106375694E-12</v>
      </c>
      <c r="AZ3" s="483">
        <f>G3-G3/12*2</f>
        <v>40</v>
      </c>
      <c r="BA3" s="474">
        <f>AE3/$AZ$3</f>
        <v>206.23715778474403</v>
      </c>
      <c r="BB3" s="478">
        <f>((AZ81-$E$59)/$E$59)/($G$3/12)</f>
        <v>7.0000000000000215E-2</v>
      </c>
      <c r="BC3" s="491"/>
      <c r="BD3" s="475"/>
      <c r="BE3" s="475"/>
      <c r="BF3" s="475"/>
      <c r="BG3" s="475"/>
      <c r="BH3" s="475"/>
      <c r="BI3" s="477"/>
    </row>
    <row r="4" spans="1:61">
      <c r="A4" s="471" t="s">
        <v>273</v>
      </c>
      <c r="B4" s="119">
        <v>100001</v>
      </c>
      <c r="C4" s="493">
        <f>IF(E55*(1+PNAVAT)*0.00025&gt;30,E55*(1+PNAVAT)*0.00025,30)</f>
        <v>30</v>
      </c>
      <c r="D4" s="1403" t="s">
        <v>308</v>
      </c>
      <c r="E4" s="1404"/>
      <c r="G4" s="494"/>
      <c r="H4" s="9"/>
      <c r="I4" s="12"/>
      <c r="J4" s="12"/>
      <c r="K4" s="12"/>
      <c r="L4" s="12"/>
      <c r="M4" s="12"/>
      <c r="N4" s="12"/>
      <c r="O4" s="495"/>
      <c r="P4" s="494"/>
      <c r="R4" s="8"/>
      <c r="U4" s="12"/>
      <c r="Y4" s="495"/>
      <c r="Z4" s="494"/>
      <c r="AA4" s="496"/>
      <c r="AB4" s="497"/>
      <c r="AC4" s="497"/>
      <c r="AD4" s="497"/>
      <c r="AE4" s="497"/>
      <c r="AF4" s="497"/>
      <c r="AG4" s="497"/>
      <c r="AH4" s="495"/>
      <c r="AI4" s="484" t="s">
        <v>19</v>
      </c>
      <c r="AJ4" s="499">
        <f>AK4/(1+PNAVAT)</f>
        <v>0</v>
      </c>
      <c r="AK4" s="1003"/>
      <c r="AL4" s="486">
        <f>COUNTIF($AT$3:$AT$14,AI4)</f>
        <v>0</v>
      </c>
      <c r="AM4" s="486">
        <f>AJ4*AL4</f>
        <v>0</v>
      </c>
      <c r="AN4" s="500" t="e">
        <f>AM4/AL4</f>
        <v>#DIV/0!</v>
      </c>
      <c r="AO4" s="13"/>
      <c r="AS4" s="501" t="str">
        <f t="shared" ref="AS4:AS67" si="0">IF(AS3=$A2,$A3,IF(AS3=$A3,$A4,IF(AS3=$A4,$A5,IF(AS3=$A5,$A6,IF(AS3=$A6,$A7,IF(AS3=$A7,$A8,IF(AS3=$A8,$A9,IF(AS3=$A9,$A10,IF(AS3=$A10,$A11,IF(AS3=$A11,$A12,IF(AS3=$A12,$A13,IF(AS3=$A13,$A14,"error"))))))))))))</f>
        <v>Mar</v>
      </c>
      <c r="AT4" s="1005" t="s">
        <v>40</v>
      </c>
      <c r="AU4" s="494"/>
      <c r="BA4" s="497"/>
      <c r="BB4" s="502"/>
      <c r="BC4" s="497"/>
      <c r="BD4" s="497"/>
      <c r="BE4" s="497"/>
      <c r="BF4" s="497"/>
      <c r="BI4" s="495"/>
    </row>
    <row r="5" spans="1:61">
      <c r="A5" s="471" t="s">
        <v>274</v>
      </c>
      <c r="D5" s="121" t="s">
        <v>317</v>
      </c>
      <c r="E5" s="997"/>
      <c r="G5" s="503" t="s">
        <v>13</v>
      </c>
      <c r="H5" s="504">
        <f>IRR($M$8:$M$80,0.02)*12</f>
        <v>0.12675394945206442</v>
      </c>
      <c r="I5" s="12"/>
      <c r="J5" s="12"/>
      <c r="K5" s="12"/>
      <c r="L5" s="12"/>
      <c r="M5" s="12"/>
      <c r="N5" s="12"/>
      <c r="O5" s="495"/>
      <c r="P5" s="503" t="s">
        <v>13</v>
      </c>
      <c r="Q5" s="504">
        <f>IRR($V$8:$V$80,0.02)*12</f>
        <v>0.12675394945206442</v>
      </c>
      <c r="R5" s="8"/>
      <c r="U5" s="12"/>
      <c r="W5" s="12"/>
      <c r="X5" s="12"/>
      <c r="Y5" s="505"/>
      <c r="Z5" s="503" t="s">
        <v>13</v>
      </c>
      <c r="AA5" s="504">
        <f>IRR($AF$8:$AF$80,0.02)*12</f>
        <v>0.12675394945206442</v>
      </c>
      <c r="AB5" s="497"/>
      <c r="AC5" s="497"/>
      <c r="AD5" s="497"/>
      <c r="AE5" s="497"/>
      <c r="AF5" s="497"/>
      <c r="AG5" s="497"/>
      <c r="AH5" s="495"/>
      <c r="AI5" s="484" t="s">
        <v>39</v>
      </c>
      <c r="AJ5" s="499">
        <f>IF(AND($AT$3="normal",$AT$4="normal",$AT$5="normal",$AT$6="normal",$AT$7="normal",$AT$8="normal",$AT$9="normal",$AT$10="normal",$AT$11="normal",$AT$12="normal",$AT$13="normal",$AT$14="normal"),AF3,0)</f>
        <v>171.86429815395334</v>
      </c>
      <c r="AK5" s="499">
        <f>AJ5*(1+PNAVAT)</f>
        <v>199.36258585858587</v>
      </c>
      <c r="AL5" s="486">
        <f>COUNTIF($AT$3:$AT$14,AI5)</f>
        <v>12</v>
      </c>
      <c r="AM5" s="486">
        <f>AJ5*AL5</f>
        <v>2062.3715778474402</v>
      </c>
      <c r="AN5" s="500">
        <f>AM5/AL5</f>
        <v>171.86429815395334</v>
      </c>
      <c r="AO5" s="448"/>
      <c r="AR5" s="497"/>
      <c r="AS5" s="501" t="str">
        <f t="shared" si="0"/>
        <v>Apr</v>
      </c>
      <c r="AT5" s="1005" t="s">
        <v>40</v>
      </c>
      <c r="AU5" s="503" t="s">
        <v>13</v>
      </c>
      <c r="AV5" s="504">
        <f>IRR($BB$8:$BB$80,0.02)*12</f>
        <v>0.13257157435091482</v>
      </c>
      <c r="AW5" s="8"/>
      <c r="AZ5" s="497"/>
      <c r="BA5" s="497"/>
      <c r="BB5" s="497"/>
      <c r="BC5" s="497"/>
      <c r="BD5" s="497"/>
      <c r="BE5" s="497"/>
      <c r="BF5" s="497"/>
      <c r="BI5" s="495"/>
    </row>
    <row r="6" spans="1:61">
      <c r="A6" s="471" t="s">
        <v>275</v>
      </c>
      <c r="B6" s="506" t="s">
        <v>341</v>
      </c>
      <c r="C6" s="507">
        <v>0.16</v>
      </c>
      <c r="D6" s="121" t="s">
        <v>338</v>
      </c>
      <c r="E6" s="565">
        <f>usdrate</f>
        <v>3.3</v>
      </c>
      <c r="G6" s="508"/>
      <c r="H6" s="10"/>
      <c r="I6" s="509"/>
      <c r="J6" s="509"/>
      <c r="K6" s="509"/>
      <c r="L6" s="509"/>
      <c r="M6" s="509"/>
      <c r="N6" s="509"/>
      <c r="O6" s="510"/>
      <c r="P6" s="498" t="s">
        <v>33</v>
      </c>
      <c r="Q6" s="511">
        <f>Q5-H5</f>
        <v>0</v>
      </c>
      <c r="R6" s="61"/>
      <c r="S6" s="512"/>
      <c r="T6" s="512"/>
      <c r="U6" s="509"/>
      <c r="V6" s="512"/>
      <c r="W6" s="509"/>
      <c r="X6" s="509"/>
      <c r="Y6" s="513"/>
      <c r="Z6" s="498" t="s">
        <v>33</v>
      </c>
      <c r="AA6" s="514">
        <f>AA5-Q5</f>
        <v>0</v>
      </c>
      <c r="AB6" s="497"/>
      <c r="AC6" s="497"/>
      <c r="AD6" s="497"/>
      <c r="AE6" s="497"/>
      <c r="AF6" s="497"/>
      <c r="AG6" s="497"/>
      <c r="AH6" s="495"/>
      <c r="AI6" s="1018" t="s">
        <v>5</v>
      </c>
      <c r="AJ6" s="66"/>
      <c r="AK6" s="66"/>
      <c r="AL6" s="66">
        <f>SUM(AL3:AL4)</f>
        <v>0</v>
      </c>
      <c r="AM6" s="515">
        <f>SUM(AM3:AM4)</f>
        <v>0</v>
      </c>
      <c r="AN6" s="516" t="e">
        <f>AM6/AL6</f>
        <v>#DIV/0!</v>
      </c>
      <c r="AQ6" s="497"/>
      <c r="AR6" s="497"/>
      <c r="AS6" s="501" t="str">
        <f t="shared" si="0"/>
        <v>May</v>
      </c>
      <c r="AT6" s="1005" t="s">
        <v>40</v>
      </c>
      <c r="AU6" s="498" t="s">
        <v>33</v>
      </c>
      <c r="AV6" s="511">
        <f>AV5-AJ7</f>
        <v>5.8176248988504042E-3</v>
      </c>
      <c r="AW6" s="8"/>
      <c r="AZ6" s="497"/>
      <c r="BA6" s="497"/>
      <c r="BB6" s="497"/>
      <c r="BC6" s="497"/>
      <c r="BD6" s="497"/>
      <c r="BE6" s="497"/>
      <c r="BF6" s="497"/>
      <c r="BI6" s="495"/>
    </row>
    <row r="7" spans="1:61">
      <c r="A7" s="471" t="s">
        <v>276</v>
      </c>
      <c r="B7" s="517" t="s">
        <v>342</v>
      </c>
      <c r="C7" s="518">
        <v>0.17</v>
      </c>
      <c r="D7" s="121" t="s">
        <v>339</v>
      </c>
      <c r="E7" s="566">
        <f>IF(OR(التوصية!$B$248='بيانات للادخال'!$F$2,التوصية!$B$248='بيانات للادخال'!$F$3),الأصل!$E$4/(1+PNAVAT),IF(التوصية!$B$248='بيانات للادخال'!$F$4,الأصل!$E$4))</f>
        <v>8942.241379310346</v>
      </c>
      <c r="G7" s="519" t="s">
        <v>6</v>
      </c>
      <c r="H7" s="520" t="s">
        <v>12</v>
      </c>
      <c r="I7" s="520" t="s">
        <v>7</v>
      </c>
      <c r="J7" s="521" t="s">
        <v>105</v>
      </c>
      <c r="K7" s="521" t="s">
        <v>106</v>
      </c>
      <c r="L7" s="520" t="s">
        <v>31</v>
      </c>
      <c r="M7" s="520" t="s">
        <v>14</v>
      </c>
      <c r="N7" s="521" t="s">
        <v>30</v>
      </c>
      <c r="O7" s="522" t="s">
        <v>32</v>
      </c>
      <c r="P7" s="519" t="s">
        <v>12</v>
      </c>
      <c r="Q7" s="520" t="s">
        <v>6</v>
      </c>
      <c r="R7" s="520" t="s">
        <v>7</v>
      </c>
      <c r="S7" s="521" t="s">
        <v>105</v>
      </c>
      <c r="T7" s="521" t="s">
        <v>106</v>
      </c>
      <c r="U7" s="520" t="s">
        <v>31</v>
      </c>
      <c r="V7" s="520" t="s">
        <v>14</v>
      </c>
      <c r="W7" s="521" t="s">
        <v>30</v>
      </c>
      <c r="X7" s="520" t="s">
        <v>32</v>
      </c>
      <c r="Y7" s="522" t="s">
        <v>70</v>
      </c>
      <c r="Z7" s="519" t="s">
        <v>6</v>
      </c>
      <c r="AA7" s="520" t="s">
        <v>12</v>
      </c>
      <c r="AB7" s="520" t="s">
        <v>7</v>
      </c>
      <c r="AC7" s="521" t="s">
        <v>105</v>
      </c>
      <c r="AD7" s="521" t="s">
        <v>106</v>
      </c>
      <c r="AE7" s="520" t="s">
        <v>31</v>
      </c>
      <c r="AF7" s="520" t="s">
        <v>14</v>
      </c>
      <c r="AG7" s="521" t="s">
        <v>30</v>
      </c>
      <c r="AH7" s="522" t="s">
        <v>32</v>
      </c>
      <c r="AI7" s="503" t="s">
        <v>13</v>
      </c>
      <c r="AJ7" s="504">
        <f>IRR($AP$10:$AP$82,0.02)*12</f>
        <v>0.12675394945206442</v>
      </c>
      <c r="AK7" s="8"/>
      <c r="AN7" s="497"/>
      <c r="AO7" s="497"/>
      <c r="AP7" s="497"/>
      <c r="AQ7" s="497"/>
      <c r="AR7" s="497"/>
      <c r="AS7" s="501" t="str">
        <f t="shared" si="0"/>
        <v>Jun</v>
      </c>
      <c r="AT7" s="1005" t="s">
        <v>40</v>
      </c>
      <c r="AU7" s="519" t="s">
        <v>12</v>
      </c>
      <c r="AV7" s="520" t="s">
        <v>6</v>
      </c>
      <c r="AW7" s="520" t="s">
        <v>343</v>
      </c>
      <c r="AX7" s="520" t="s">
        <v>7</v>
      </c>
      <c r="AY7" s="521" t="s">
        <v>105</v>
      </c>
      <c r="AZ7" s="521" t="s">
        <v>106</v>
      </c>
      <c r="BA7" s="520" t="s">
        <v>31</v>
      </c>
      <c r="BB7" s="520" t="s">
        <v>14</v>
      </c>
      <c r="BC7" s="521" t="s">
        <v>30</v>
      </c>
      <c r="BD7" s="521" t="s">
        <v>344</v>
      </c>
      <c r="BE7" s="520" t="s">
        <v>32</v>
      </c>
      <c r="BF7" s="523" t="s">
        <v>345</v>
      </c>
      <c r="BG7" s="1408" t="s">
        <v>12</v>
      </c>
      <c r="BH7" s="1410" t="s">
        <v>346</v>
      </c>
      <c r="BI7" s="1411"/>
    </row>
    <row r="8" spans="1:61">
      <c r="A8" s="471" t="s">
        <v>277</v>
      </c>
      <c r="B8" s="9"/>
      <c r="D8" s="121" t="s">
        <v>340</v>
      </c>
      <c r="E8" s="566">
        <f>IF(OR(التوصية!$B$248='بيانات للادخال'!$F$2,التوصية!$B$248='بيانات للادخال'!$F$3),الأصل!$F$4/(1+PNAVAT),IF(التوصية!$B$248='بيانات للادخال'!$F$4,الأصل!$F$4))</f>
        <v>2612.3301985370954</v>
      </c>
      <c r="G8" s="998">
        <v>2019</v>
      </c>
      <c r="H8" s="999" t="s">
        <v>272</v>
      </c>
      <c r="I8" s="524">
        <v>0</v>
      </c>
      <c r="J8" s="525"/>
      <c r="K8" s="11"/>
      <c r="L8" s="11">
        <f t="shared" ref="L8:L39" si="1">IF(I8=0,-$E$59,0)</f>
        <v>-6444.9111807732506</v>
      </c>
      <c r="M8" s="11">
        <f t="shared" ref="M8:M71" si="2">K8+L8</f>
        <v>-6444.9111807732506</v>
      </c>
      <c r="N8" s="11"/>
      <c r="O8" s="526">
        <f>-L8</f>
        <v>6444.9111807732506</v>
      </c>
      <c r="P8" s="527" t="str">
        <f t="shared" ref="P8:P71" si="3">AJ10</f>
        <v>Feb</v>
      </c>
      <c r="Q8" s="524">
        <f t="shared" ref="Q8:Q71" si="4">G8</f>
        <v>2019</v>
      </c>
      <c r="R8" s="524">
        <v>0</v>
      </c>
      <c r="S8" s="525"/>
      <c r="T8" s="9"/>
      <c r="U8" s="11">
        <f t="shared" ref="U8:U39" si="5">IF(R8=0,-$E$59,0)</f>
        <v>-6444.9111807732506</v>
      </c>
      <c r="V8" s="11">
        <f t="shared" ref="V8:V71" si="6">T8+U8</f>
        <v>-6444.9111807732506</v>
      </c>
      <c r="W8" s="11"/>
      <c r="X8" s="11">
        <f>-U8</f>
        <v>6444.9111807732506</v>
      </c>
      <c r="Y8" s="526"/>
      <c r="Z8" s="528">
        <f t="shared" ref="Z8:AA39" si="7">G8</f>
        <v>2019</v>
      </c>
      <c r="AA8" s="529" t="str">
        <f t="shared" si="7"/>
        <v>Feb</v>
      </c>
      <c r="AB8" s="524">
        <v>0</v>
      </c>
      <c r="AC8" s="525"/>
      <c r="AD8" s="525">
        <f t="shared" ref="AD8:AD71" si="8">IF(AND(AB8&gt;$Z$3,AB8&lt;=$G$3),$AF$3,0)</f>
        <v>0</v>
      </c>
      <c r="AE8" s="11">
        <f t="shared" ref="AE8:AE39" si="9">IF(AB8=0,-$E$59,0)</f>
        <v>-6444.9111807732506</v>
      </c>
      <c r="AF8" s="11">
        <f t="shared" ref="AF8:AF71" si="10">AD8+AE8</f>
        <v>-6444.9111807732506</v>
      </c>
      <c r="AG8" s="11"/>
      <c r="AH8" s="526">
        <f>-AE8</f>
        <v>6444.9111807732506</v>
      </c>
      <c r="AI8" s="498" t="s">
        <v>33</v>
      </c>
      <c r="AJ8" s="511">
        <f>AJ7-AA5</f>
        <v>0</v>
      </c>
      <c r="AK8" s="8"/>
      <c r="AN8" s="497"/>
      <c r="AO8" s="497"/>
      <c r="AP8" s="497"/>
      <c r="AQ8" s="497"/>
      <c r="AR8" s="497"/>
      <c r="AS8" s="501" t="str">
        <f t="shared" si="0"/>
        <v>Jul</v>
      </c>
      <c r="AT8" s="1005" t="s">
        <v>40</v>
      </c>
      <c r="AU8" s="527" t="str">
        <f t="shared" ref="AU8:AU71" si="11">H8</f>
        <v>Feb</v>
      </c>
      <c r="AV8" s="524">
        <f t="shared" ref="AV8:AV71" si="12">AK10</f>
        <v>2019</v>
      </c>
      <c r="AW8" s="524" t="str">
        <f>AU8&amp;" "&amp;AV8</f>
        <v>Feb 2019</v>
      </c>
      <c r="AX8" s="530">
        <v>0</v>
      </c>
      <c r="AY8" s="525"/>
      <c r="AZ8" s="525">
        <f t="shared" ref="AZ8:AZ71" si="13">IFERROR(VLOOKUP(AW8,$BG$9:$BI$81,3,FALSE),0)</f>
        <v>0</v>
      </c>
      <c r="BA8" s="11">
        <f t="shared" ref="BA8:BA39" si="14">IF(AX8=0,-$E$59,0)</f>
        <v>-6444.9111807732506</v>
      </c>
      <c r="BB8" s="11">
        <f t="shared" ref="BB8:BB71" si="15">AZ8+BA8</f>
        <v>-6444.9111807732506</v>
      </c>
      <c r="BC8" s="11"/>
      <c r="BD8" s="11"/>
      <c r="BE8" s="11">
        <f>-BA8</f>
        <v>6444.9111807732506</v>
      </c>
      <c r="BF8" s="531"/>
      <c r="BG8" s="1409"/>
      <c r="BH8" s="532" t="s">
        <v>347</v>
      </c>
      <c r="BI8" s="533" t="s">
        <v>348</v>
      </c>
    </row>
    <row r="9" spans="1:61">
      <c r="A9" s="471" t="s">
        <v>278</v>
      </c>
      <c r="B9" s="9"/>
      <c r="D9" s="121" t="s">
        <v>9</v>
      </c>
      <c r="E9" s="22">
        <f>E7-E8</f>
        <v>6329.9111807732506</v>
      </c>
      <c r="G9" s="536">
        <f>IF(H9&lt;&gt;"jan",G8,G8+1)</f>
        <v>2019</v>
      </c>
      <c r="H9" s="537" t="str">
        <f t="shared" ref="H9:H72" si="16">IF(H8=$A2,$A3,IF(H8=$A3,$A4,IF(H8=$A4,$A5,IF(H8=$A5,$A6,IF(H8=$A6,$A7,IF(H8=$A7,$A8,IF(H8=$A8,$A9,IF(H8=$A9,$A10,IF(H8=$A10,$A11,IF(H8=$A11,$A12,IF(H8=$A12,$A13,IF(H8=$A13,$A14,"error"))))))))))))</f>
        <v>Mar</v>
      </c>
      <c r="I9" s="447">
        <v>1</v>
      </c>
      <c r="J9" s="496">
        <f>IF(OR(التوصية!$B$248='بيانات للادخال'!$F$2,التوصية!$B$248='بيانات للادخال'!$F$3),K9*(1+PNAVAT),IF(التوصية!$B$248='بيانات للادخال'!$F$4,(K9-N9)+N9*(1+PNAVAT)))</f>
        <v>199.36258585858587</v>
      </c>
      <c r="K9" s="496">
        <f t="shared" ref="K9:K72" si="17">IF(I9&lt;=$G$3,$K$3,0)</f>
        <v>171.86429815395334</v>
      </c>
      <c r="L9" s="9">
        <f t="shared" si="1"/>
        <v>0</v>
      </c>
      <c r="M9" s="9">
        <f t="shared" si="2"/>
        <v>171.86429815395334</v>
      </c>
      <c r="N9" s="9">
        <f t="shared" ref="N9:N72" si="18">O8*$H$5/12</f>
        <v>68.076495502564782</v>
      </c>
      <c r="O9" s="538">
        <f>O8-(M9-N9)</f>
        <v>6341.1233781218625</v>
      </c>
      <c r="P9" s="539" t="str">
        <f t="shared" si="3"/>
        <v>Mar</v>
      </c>
      <c r="Q9" s="447">
        <f t="shared" si="4"/>
        <v>2019</v>
      </c>
      <c r="R9" s="447">
        <v>1</v>
      </c>
      <c r="S9" s="496">
        <f>IF(OR(التوصية!$B$248='بيانات للادخال'!$F$2,التوصية!$B$248='بيانات للادخال'!$F$3),T9*(1+PNAVAT),IF(التوصية!$B$248='بيانات للادخال'!$F$4,(T9-W9)+W9*(1+PNAVAT)))</f>
        <v>199.36258585858587</v>
      </c>
      <c r="T9" s="9">
        <f t="shared" ref="T9:T72" si="19">IF(R9&lt;=$G$3,$V$3,0)</f>
        <v>171.86429815395334</v>
      </c>
      <c r="U9" s="9">
        <f t="shared" si="5"/>
        <v>0</v>
      </c>
      <c r="V9" s="9">
        <f t="shared" si="6"/>
        <v>171.86429815395334</v>
      </c>
      <c r="W9" s="9">
        <f t="shared" ref="W9:W72" si="20">X8*$Q$5/12</f>
        <v>68.076495502564782</v>
      </c>
      <c r="X9" s="9">
        <f>X8-(V9-W9)</f>
        <v>6341.1233781218625</v>
      </c>
      <c r="Y9" s="538">
        <f>T9-W9</f>
        <v>103.78780265138856</v>
      </c>
      <c r="Z9" s="494">
        <f t="shared" si="7"/>
        <v>2019</v>
      </c>
      <c r="AA9" s="537" t="str">
        <f t="shared" si="7"/>
        <v>Mar</v>
      </c>
      <c r="AB9" s="447">
        <v>1</v>
      </c>
      <c r="AC9" s="496">
        <f>IF(OR(التوصية!$B$248='بيانات للادخال'!$F$2,التوصية!$B$248='بيانات للادخال'!$F$3),AD9*(1+PNAVAT),IF(التوصية!$B$248='بيانات للادخال'!$F$4,(AD9-AG9)+AG9*(1+PNAVAT)))</f>
        <v>199.36258585858587</v>
      </c>
      <c r="AD9" s="496">
        <f t="shared" si="8"/>
        <v>171.86429815395334</v>
      </c>
      <c r="AE9" s="9">
        <f t="shared" si="9"/>
        <v>0</v>
      </c>
      <c r="AF9" s="9">
        <f t="shared" si="10"/>
        <v>171.86429815395334</v>
      </c>
      <c r="AG9" s="9">
        <f t="shared" ref="AG9:AG72" si="21">AH8*$AA$5/12</f>
        <v>68.076495502564782</v>
      </c>
      <c r="AH9" s="538">
        <f>AH8-(AF9-AG9)</f>
        <v>6341.1233781218625</v>
      </c>
      <c r="AI9" s="519" t="s">
        <v>17</v>
      </c>
      <c r="AJ9" s="520" t="s">
        <v>12</v>
      </c>
      <c r="AK9" s="520" t="s">
        <v>6</v>
      </c>
      <c r="AL9" s="520" t="s">
        <v>7</v>
      </c>
      <c r="AM9" s="521" t="s">
        <v>105</v>
      </c>
      <c r="AN9" s="521" t="s">
        <v>106</v>
      </c>
      <c r="AO9" s="520" t="s">
        <v>31</v>
      </c>
      <c r="AP9" s="520" t="s">
        <v>14</v>
      </c>
      <c r="AQ9" s="521" t="s">
        <v>30</v>
      </c>
      <c r="AR9" s="520" t="s">
        <v>32</v>
      </c>
      <c r="AS9" s="501" t="str">
        <f t="shared" si="0"/>
        <v>Aug</v>
      </c>
      <c r="AT9" s="1005" t="s">
        <v>40</v>
      </c>
      <c r="AU9" s="539" t="str">
        <f t="shared" si="11"/>
        <v>Mar</v>
      </c>
      <c r="AV9" s="447">
        <f t="shared" si="12"/>
        <v>2019</v>
      </c>
      <c r="AW9" s="447" t="str">
        <f t="shared" ref="AW9:AW72" si="22">AU9&amp;" "&amp;AV9</f>
        <v>Mar 2019</v>
      </c>
      <c r="AX9" s="448">
        <v>1</v>
      </c>
      <c r="AY9" s="496">
        <f>IF(OR(التوصية!$B$248='بيانات للادخال'!$F$2,التوصية!$B$248='بيانات للادخال'!$F$3),AZ9*(1+PNAVAT),IF(التوصية!$B$248='بيانات للادخال'!$F$4,(AZ9-BC9)+BC9*(1+PNAVAT)))</f>
        <v>239.23510303030307</v>
      </c>
      <c r="AZ9" s="496">
        <f t="shared" si="13"/>
        <v>206.23715778474403</v>
      </c>
      <c r="BA9" s="9">
        <f t="shared" si="14"/>
        <v>0</v>
      </c>
      <c r="BB9" s="9">
        <f t="shared" si="15"/>
        <v>206.23715778474403</v>
      </c>
      <c r="BC9" s="9">
        <f t="shared" ref="BC9:BC72" si="23">BE8*$AV$5/12</f>
        <v>71.20100181557693</v>
      </c>
      <c r="BD9" s="9">
        <f>AZ9-BC9</f>
        <v>135.03615596916711</v>
      </c>
      <c r="BE9" s="9">
        <f t="shared" ref="BE9:BE30" si="24">BE8-(BB9-BC9)</f>
        <v>6309.8750248040833</v>
      </c>
      <c r="BF9" s="531">
        <f>IF($E$1='بيانات للادخال'!$M$2,IF(AND(OR(AX9=11+$Z$3,AX9=12+$Z$3,AX9=23+$Z$3,AX9=24+$Z$3,AX9=35+$Z$3,AX9=36+$Z$3,AX9=47+$Z$3,AX9=48+$Z$3,AX9=59+$Z$3,AX9=60+$Z$3),AX9&lt;=$G$3),$E$61/2,AY9),IF($E$1='بيانات للادخال'!$M$3,AC9))</f>
        <v>199.36258585858587</v>
      </c>
      <c r="BG9" s="540" t="str">
        <f t="shared" ref="BG9:BG72" si="25">AW9</f>
        <v>Mar 2019</v>
      </c>
      <c r="BH9" s="541">
        <f t="shared" ref="BH9:BH40" si="26">IF(OR(AX9&lt;=$Z$3,AX9=11+$Z$3,AX9=12+$Z$3,AX9=23+$Z$3,AX9=24+$Z$3,AX9=35+$Z$3,AX9=36+$Z$3,AX9=47+$Z$3,AX9=48+$Z$3,AX9=59+$Z$3,AX9=60+$Z$3),0,IF(AX9&lt;=$G$3,$BA$3*(1+PNAVAT),0))</f>
        <v>239.23510303030307</v>
      </c>
      <c r="BI9" s="542">
        <f t="shared" ref="BI9:BI40" si="27">BH9/(1+PNAVAT)</f>
        <v>206.23715778474403</v>
      </c>
    </row>
    <row r="10" spans="1:61">
      <c r="A10" s="471" t="s">
        <v>279</v>
      </c>
      <c r="B10" s="9"/>
      <c r="D10" s="543" t="s">
        <v>349</v>
      </c>
      <c r="E10" s="544" t="s">
        <v>350</v>
      </c>
      <c r="G10" s="536">
        <f t="shared" ref="G10:G73" si="28">IF(H10&lt;&gt;"jan",G9,G9+1)</f>
        <v>2019</v>
      </c>
      <c r="H10" s="537" t="str">
        <f t="shared" si="16"/>
        <v>Apr</v>
      </c>
      <c r="I10" s="447">
        <f t="shared" ref="I10:I73" si="29">I9+1</f>
        <v>2</v>
      </c>
      <c r="J10" s="496">
        <f>IF(OR(التوصية!$B$248='بيانات للادخال'!$F$2,التوصية!$B$248='بيانات للادخال'!$F$3),K10*(1+PNAVAT),IF(التوصية!$B$248='بيانات للادخال'!$F$4,(K10-N10)+N10*(1+PNAVAT)))</f>
        <v>199.36258585858587</v>
      </c>
      <c r="K10" s="496">
        <f t="shared" si="17"/>
        <v>171.86429815395334</v>
      </c>
      <c r="L10" s="9">
        <f t="shared" si="1"/>
        <v>0</v>
      </c>
      <c r="M10" s="9">
        <f t="shared" si="2"/>
        <v>171.86429815395334</v>
      </c>
      <c r="N10" s="9">
        <f t="shared" si="18"/>
        <v>66.980202678313546</v>
      </c>
      <c r="O10" s="538">
        <f t="shared" ref="O10:O73" si="30">O9-(M10-N10)</f>
        <v>6236.2392826462228</v>
      </c>
      <c r="P10" s="539" t="str">
        <f t="shared" si="3"/>
        <v>Apr</v>
      </c>
      <c r="Q10" s="447">
        <f t="shared" si="4"/>
        <v>2019</v>
      </c>
      <c r="R10" s="447">
        <f t="shared" ref="R10:R73" si="31">R9+1</f>
        <v>2</v>
      </c>
      <c r="S10" s="496">
        <f>IF(OR(التوصية!$B$248='بيانات للادخال'!$F$2,التوصية!$B$248='بيانات للادخال'!$F$3),T10*(1+PNAVAT),IF(التوصية!$B$248='بيانات للادخال'!$F$4,(T10-W10)+W10*(1+PNAVAT)))</f>
        <v>199.36258585858587</v>
      </c>
      <c r="T10" s="9">
        <f t="shared" si="19"/>
        <v>171.86429815395334</v>
      </c>
      <c r="U10" s="9">
        <f t="shared" si="5"/>
        <v>0</v>
      </c>
      <c r="V10" s="9">
        <f t="shared" si="6"/>
        <v>171.86429815395334</v>
      </c>
      <c r="W10" s="9">
        <f t="shared" si="20"/>
        <v>66.980202678313546</v>
      </c>
      <c r="X10" s="9">
        <f t="shared" ref="X10:X73" si="32">X9-(V10-W10)</f>
        <v>6236.2392826462228</v>
      </c>
      <c r="Y10" s="538">
        <f t="shared" ref="Y10:Y73" si="33">T10-W10</f>
        <v>104.8840954756398</v>
      </c>
      <c r="Z10" s="494">
        <f t="shared" si="7"/>
        <v>2019</v>
      </c>
      <c r="AA10" s="537" t="str">
        <f t="shared" si="7"/>
        <v>Apr</v>
      </c>
      <c r="AB10" s="447">
        <f t="shared" ref="AB10:AB73" si="34">AB9+1</f>
        <v>2</v>
      </c>
      <c r="AC10" s="496">
        <f>IF(OR(التوصية!$B$248='بيانات للادخال'!$F$2,التوصية!$B$248='بيانات للادخال'!$F$3),AD10*(1+PNAVAT),IF(التوصية!$B$248='بيانات للادخال'!$F$4,(AD10-AG10)+AG10*(1+PNAVAT)))</f>
        <v>199.36258585858587</v>
      </c>
      <c r="AD10" s="496">
        <f t="shared" si="8"/>
        <v>171.86429815395334</v>
      </c>
      <c r="AE10" s="9">
        <f t="shared" si="9"/>
        <v>0</v>
      </c>
      <c r="AF10" s="9">
        <f t="shared" si="10"/>
        <v>171.86429815395334</v>
      </c>
      <c r="AG10" s="9">
        <f t="shared" si="21"/>
        <v>66.980202678313546</v>
      </c>
      <c r="AH10" s="538">
        <f t="shared" ref="AH10:AH73" si="35">AH9-(AF10-AG10)</f>
        <v>6236.2392826462228</v>
      </c>
      <c r="AI10" s="545" t="str">
        <f t="shared" ref="AI10:AI73" si="36">IF(AJ10=AS15,AT15,"Normal")</f>
        <v>normal</v>
      </c>
      <c r="AJ10" s="529" t="str">
        <f t="shared" ref="AJ10:AJ73" si="37">AA8</f>
        <v>Feb</v>
      </c>
      <c r="AK10" s="524">
        <f t="shared" ref="AK10:AK73" si="38">Z8</f>
        <v>2019</v>
      </c>
      <c r="AL10" s="524">
        <v>0</v>
      </c>
      <c r="AM10" s="525"/>
      <c r="AN10" s="525">
        <f t="shared" ref="AN10:AN73" si="39">IF(AND(AL10&gt;$Z$3,AL10&lt;=$G$3,AI10="Dull"),$AJ$4,IF((AND(AL10&gt;$Z$3,AL10&lt;=$G$3,AI10="High")),$AJ$3,IF(AND(AL10&gt;$Z$3,AL10&lt;=$G$3,AI10="Normal"),$AJ$5,0)))</f>
        <v>0</v>
      </c>
      <c r="AO10" s="11">
        <f t="shared" ref="AO10:AO41" si="40">IF(AL10=0,-$E$59,0)</f>
        <v>-6444.9111807732506</v>
      </c>
      <c r="AP10" s="11">
        <f t="shared" ref="AP10:AP73" si="41">AN10+AO10</f>
        <v>-6444.9111807732506</v>
      </c>
      <c r="AQ10" s="11"/>
      <c r="AR10" s="546">
        <f>-AO10</f>
        <v>6444.9111807732506</v>
      </c>
      <c r="AS10" s="501" t="str">
        <f t="shared" si="0"/>
        <v>Sep</v>
      </c>
      <c r="AT10" s="1005" t="s">
        <v>40</v>
      </c>
      <c r="AU10" s="539" t="str">
        <f t="shared" si="11"/>
        <v>Apr</v>
      </c>
      <c r="AV10" s="447">
        <f t="shared" si="12"/>
        <v>2019</v>
      </c>
      <c r="AW10" s="447" t="str">
        <f t="shared" si="22"/>
        <v>Apr 2019</v>
      </c>
      <c r="AX10" s="448">
        <f t="shared" ref="AX10:AX73" si="42">AX9+1</f>
        <v>2</v>
      </c>
      <c r="AY10" s="496">
        <f>IF(OR(التوصية!$B$248='بيانات للادخال'!$F$2,التوصية!$B$248='بيانات للادخال'!$F$3),AZ10*(1+PNAVAT),IF(التوصية!$B$248='بيانات للادخال'!$F$4,(AZ10-BC10)+BC10*(1+PNAVAT)))</f>
        <v>239.23510303030307</v>
      </c>
      <c r="AZ10" s="496">
        <f t="shared" si="13"/>
        <v>206.23715778474403</v>
      </c>
      <c r="BA10" s="9">
        <f t="shared" si="14"/>
        <v>0</v>
      </c>
      <c r="BB10" s="9">
        <f t="shared" si="15"/>
        <v>206.23715778474403</v>
      </c>
      <c r="BC10" s="9">
        <f t="shared" si="23"/>
        <v>69.70917216631625</v>
      </c>
      <c r="BD10" s="9">
        <f t="shared" ref="BD10:BD73" si="43">AZ10-BC10</f>
        <v>136.52798561842778</v>
      </c>
      <c r="BE10" s="9">
        <f t="shared" si="24"/>
        <v>6173.3470391856554</v>
      </c>
      <c r="BF10" s="531">
        <f>IF($E$1='بيانات للادخال'!$M$2,IF(AND(OR(AX10=11+$Z$3,AX10=12+$Z$3,AX10=23+$Z$3,AX10=24+$Z$3,AX10=35+$Z$3,AX10=36+$Z$3,AX10=47+$Z$3,AX10=48+$Z$3,AX10=59+$Z$3,AX10=60+$Z$3),AX10&lt;=$G$3),$E$61/2,AY10),IF($E$1='بيانات للادخال'!$M$3,AC10))</f>
        <v>199.36258585858587</v>
      </c>
      <c r="BG10" s="547" t="str">
        <f t="shared" si="25"/>
        <v>Apr 2019</v>
      </c>
      <c r="BH10" s="541">
        <f t="shared" si="26"/>
        <v>239.23510303030307</v>
      </c>
      <c r="BI10" s="548">
        <f t="shared" si="27"/>
        <v>206.23715778474403</v>
      </c>
    </row>
    <row r="11" spans="1:61">
      <c r="A11" s="471" t="s">
        <v>280</v>
      </c>
      <c r="B11" s="9"/>
      <c r="D11" s="543" t="s">
        <v>351</v>
      </c>
      <c r="E11" s="551">
        <f>IF(E5="",0,IF(E5&lt;1001,935/E6+(E7*(1+PNAVAT)*0.0175),IF(E5&lt;1501,1035/E6+(E7*(1+PNAVAT)*0.0175),IF(E5&lt;2001,1340/E6+(E7*(1+PNAVAT)*0.0175),IF(E5&lt;10000,1690/E6+(E7*(1+PNAVAT)*0.0175)," ")))))</f>
        <v>0</v>
      </c>
      <c r="G11" s="536">
        <f t="shared" si="28"/>
        <v>2019</v>
      </c>
      <c r="H11" s="537" t="str">
        <f t="shared" si="16"/>
        <v>May</v>
      </c>
      <c r="I11" s="447">
        <f t="shared" si="29"/>
        <v>3</v>
      </c>
      <c r="J11" s="496">
        <f>IF(OR(التوصية!$B$248='بيانات للادخال'!$F$2,التوصية!$B$248='بيانات للادخال'!$F$3),K11*(1+PNAVAT),IF(التوصية!$B$248='بيانات للادخال'!$F$4,(K11-N11)+N11*(1+PNAVAT)))</f>
        <v>199.36258585858587</v>
      </c>
      <c r="K11" s="496">
        <f t="shared" si="17"/>
        <v>171.86429815395334</v>
      </c>
      <c r="L11" s="9">
        <f t="shared" si="1"/>
        <v>0</v>
      </c>
      <c r="M11" s="9">
        <f t="shared" si="2"/>
        <v>171.86429815395334</v>
      </c>
      <c r="N11" s="9">
        <f t="shared" si="18"/>
        <v>65.872329900293153</v>
      </c>
      <c r="O11" s="538">
        <f t="shared" si="30"/>
        <v>6130.2473143925627</v>
      </c>
      <c r="P11" s="539" t="str">
        <f t="shared" si="3"/>
        <v>May</v>
      </c>
      <c r="Q11" s="447">
        <f t="shared" si="4"/>
        <v>2019</v>
      </c>
      <c r="R11" s="447">
        <f t="shared" si="31"/>
        <v>3</v>
      </c>
      <c r="S11" s="496">
        <f>IF(OR(التوصية!$B$248='بيانات للادخال'!$F$2,التوصية!$B$248='بيانات للادخال'!$F$3),T11*(1+PNAVAT),IF(التوصية!$B$248='بيانات للادخال'!$F$4,(T11-W11)+W11*(1+PNAVAT)))</f>
        <v>199.36258585858587</v>
      </c>
      <c r="T11" s="9">
        <f t="shared" si="19"/>
        <v>171.86429815395334</v>
      </c>
      <c r="U11" s="9">
        <f t="shared" si="5"/>
        <v>0</v>
      </c>
      <c r="V11" s="9">
        <f t="shared" si="6"/>
        <v>171.86429815395334</v>
      </c>
      <c r="W11" s="9">
        <f t="shared" si="20"/>
        <v>65.872329900293153</v>
      </c>
      <c r="X11" s="9">
        <f t="shared" si="32"/>
        <v>6130.2473143925627</v>
      </c>
      <c r="Y11" s="538">
        <f t="shared" si="33"/>
        <v>105.99196825366019</v>
      </c>
      <c r="Z11" s="494">
        <f t="shared" si="7"/>
        <v>2019</v>
      </c>
      <c r="AA11" s="537" t="str">
        <f t="shared" si="7"/>
        <v>May</v>
      </c>
      <c r="AB11" s="447">
        <f t="shared" si="34"/>
        <v>3</v>
      </c>
      <c r="AC11" s="496">
        <f>IF(OR(التوصية!$B$248='بيانات للادخال'!$F$2,التوصية!$B$248='بيانات للادخال'!$F$3),AD11*(1+PNAVAT),IF(التوصية!$B$248='بيانات للادخال'!$F$4,(AD11-AG11)+AG11*(1+PNAVAT)))</f>
        <v>199.36258585858587</v>
      </c>
      <c r="AD11" s="496">
        <f t="shared" si="8"/>
        <v>171.86429815395334</v>
      </c>
      <c r="AE11" s="9">
        <f t="shared" si="9"/>
        <v>0</v>
      </c>
      <c r="AF11" s="9">
        <f t="shared" si="10"/>
        <v>171.86429815395334</v>
      </c>
      <c r="AG11" s="9">
        <f t="shared" si="21"/>
        <v>65.872329900293153</v>
      </c>
      <c r="AH11" s="538">
        <f t="shared" si="35"/>
        <v>6130.2473143925627</v>
      </c>
      <c r="AI11" s="549" t="str">
        <f t="shared" si="36"/>
        <v>normal</v>
      </c>
      <c r="AJ11" s="537" t="str">
        <f t="shared" si="37"/>
        <v>Mar</v>
      </c>
      <c r="AK11" s="447">
        <f t="shared" si="38"/>
        <v>2019</v>
      </c>
      <c r="AL11" s="447">
        <v>1</v>
      </c>
      <c r="AM11" s="496">
        <f>IF(OR(التوصية!$B$248='بيانات للادخال'!$F$2,التوصية!$B$248='بيانات للادخال'!$F$3),AN11*(1+PNAVAT),IF(التوصية!$B$248='بيانات للادخال'!$F$4,(AN11-AQ11)+AQ11*(1+PNAVAT)))</f>
        <v>199.36258585858587</v>
      </c>
      <c r="AN11" s="496">
        <f t="shared" si="39"/>
        <v>171.86429815395334</v>
      </c>
      <c r="AO11" s="9">
        <f t="shared" si="40"/>
        <v>0</v>
      </c>
      <c r="AP11" s="9">
        <f t="shared" si="41"/>
        <v>171.86429815395334</v>
      </c>
      <c r="AQ11" s="9">
        <f t="shared" ref="AQ11:AQ74" si="44">AR10*$AJ$7/12</f>
        <v>68.076495502564782</v>
      </c>
      <c r="AR11" s="550">
        <f t="shared" ref="AR11:AR74" si="45">AR10-(AP11-AQ11)</f>
        <v>6341.1233781218625</v>
      </c>
      <c r="AS11" s="501" t="str">
        <f t="shared" si="0"/>
        <v>Oct</v>
      </c>
      <c r="AT11" s="1005" t="s">
        <v>40</v>
      </c>
      <c r="AU11" s="539" t="str">
        <f t="shared" si="11"/>
        <v>May</v>
      </c>
      <c r="AV11" s="447">
        <f t="shared" si="12"/>
        <v>2019</v>
      </c>
      <c r="AW11" s="447" t="str">
        <f t="shared" si="22"/>
        <v>May 2019</v>
      </c>
      <c r="AX11" s="448">
        <f t="shared" si="42"/>
        <v>3</v>
      </c>
      <c r="AY11" s="496">
        <f>IF(OR(التوصية!$B$248='بيانات للادخال'!$F$2,التوصية!$B$248='بيانات للادخال'!$F$3),AZ11*(1+PNAVAT),IF(التوصية!$B$248='بيانات للادخال'!$F$4,(AZ11-BC11)+BC11*(1+PNAVAT)))</f>
        <v>239.23510303030307</v>
      </c>
      <c r="AZ11" s="496">
        <f t="shared" si="13"/>
        <v>206.23715778474403</v>
      </c>
      <c r="BA11" s="9">
        <f t="shared" si="14"/>
        <v>0</v>
      </c>
      <c r="BB11" s="9">
        <f t="shared" si="15"/>
        <v>206.23715778474403</v>
      </c>
      <c r="BC11" s="9">
        <f t="shared" si="23"/>
        <v>68.200861333283413</v>
      </c>
      <c r="BD11" s="9">
        <f t="shared" si="43"/>
        <v>138.0362964514606</v>
      </c>
      <c r="BE11" s="9">
        <f t="shared" si="24"/>
        <v>6035.3107427341947</v>
      </c>
      <c r="BF11" s="531">
        <f>IF($E$1='بيانات للادخال'!$M$2,IF(AND(OR(AX11=11+$Z$3,AX11=12+$Z$3,AX11=23+$Z$3,AX11=24+$Z$3,AX11=35+$Z$3,AX11=36+$Z$3,AX11=47+$Z$3,AX11=48+$Z$3,AX11=59+$Z$3,AX11=60+$Z$3),AX11&lt;=$G$3),$E$61/2,AY11),IF($E$1='بيانات للادخال'!$M$3,AC11))</f>
        <v>199.36258585858587</v>
      </c>
      <c r="BG11" s="547" t="str">
        <f t="shared" si="25"/>
        <v>May 2019</v>
      </c>
      <c r="BH11" s="541">
        <f t="shared" si="26"/>
        <v>239.23510303030307</v>
      </c>
      <c r="BI11" s="548">
        <f t="shared" si="27"/>
        <v>206.23715778474403</v>
      </c>
    </row>
    <row r="12" spans="1:61">
      <c r="A12" s="471" t="s">
        <v>281</v>
      </c>
      <c r="B12" s="9"/>
      <c r="G12" s="536">
        <f t="shared" si="28"/>
        <v>2019</v>
      </c>
      <c r="H12" s="537" t="str">
        <f t="shared" si="16"/>
        <v>Jun</v>
      </c>
      <c r="I12" s="447">
        <f t="shared" si="29"/>
        <v>4</v>
      </c>
      <c r="J12" s="496">
        <f>IF(OR(التوصية!$B$248='بيانات للادخال'!$F$2,التوصية!$B$248='بيانات للادخال'!$F$3),K12*(1+PNAVAT),IF(التوصية!$B$248='بيانات للادخال'!$F$4,(K12-N12)+N12*(1+PNAVAT)))</f>
        <v>199.36258585858587</v>
      </c>
      <c r="K12" s="496">
        <f t="shared" si="17"/>
        <v>171.86429815395334</v>
      </c>
      <c r="L12" s="9">
        <f t="shared" si="1"/>
        <v>0</v>
      </c>
      <c r="M12" s="9">
        <f t="shared" si="2"/>
        <v>171.86429815395334</v>
      </c>
      <c r="N12" s="9">
        <f t="shared" si="18"/>
        <v>64.752754851430709</v>
      </c>
      <c r="O12" s="538">
        <f t="shared" si="30"/>
        <v>6023.1357710900402</v>
      </c>
      <c r="P12" s="539" t="str">
        <f t="shared" si="3"/>
        <v>Jun</v>
      </c>
      <c r="Q12" s="447">
        <f t="shared" si="4"/>
        <v>2019</v>
      </c>
      <c r="R12" s="447">
        <f t="shared" si="31"/>
        <v>4</v>
      </c>
      <c r="S12" s="496">
        <f>IF(OR(التوصية!$B$248='بيانات للادخال'!$F$2,التوصية!$B$248='بيانات للادخال'!$F$3),T12*(1+PNAVAT),IF(التوصية!$B$248='بيانات للادخال'!$F$4,(T12-W12)+W12*(1+PNAVAT)))</f>
        <v>199.36258585858587</v>
      </c>
      <c r="T12" s="9">
        <f t="shared" si="19"/>
        <v>171.86429815395334</v>
      </c>
      <c r="U12" s="9">
        <f t="shared" si="5"/>
        <v>0</v>
      </c>
      <c r="V12" s="9">
        <f t="shared" si="6"/>
        <v>171.86429815395334</v>
      </c>
      <c r="W12" s="9">
        <f t="shared" si="20"/>
        <v>64.752754851430709</v>
      </c>
      <c r="X12" s="9">
        <f t="shared" si="32"/>
        <v>6023.1357710900402</v>
      </c>
      <c r="Y12" s="538">
        <f t="shared" si="33"/>
        <v>107.11154330252263</v>
      </c>
      <c r="Z12" s="494">
        <f t="shared" si="7"/>
        <v>2019</v>
      </c>
      <c r="AA12" s="537" t="str">
        <f t="shared" si="7"/>
        <v>Jun</v>
      </c>
      <c r="AB12" s="447">
        <f t="shared" si="34"/>
        <v>4</v>
      </c>
      <c r="AC12" s="496">
        <f>IF(OR(التوصية!$B$248='بيانات للادخال'!$F$2,التوصية!$B$248='بيانات للادخال'!$F$3),AD12*(1+PNAVAT),IF(التوصية!$B$248='بيانات للادخال'!$F$4,(AD12-AG12)+AG12*(1+PNAVAT)))</f>
        <v>199.36258585858587</v>
      </c>
      <c r="AD12" s="496">
        <f t="shared" si="8"/>
        <v>171.86429815395334</v>
      </c>
      <c r="AE12" s="9">
        <f t="shared" si="9"/>
        <v>0</v>
      </c>
      <c r="AF12" s="9">
        <f t="shared" si="10"/>
        <v>171.86429815395334</v>
      </c>
      <c r="AG12" s="9">
        <f t="shared" si="21"/>
        <v>64.752754851430709</v>
      </c>
      <c r="AH12" s="538">
        <f t="shared" si="35"/>
        <v>6023.1357710900402</v>
      </c>
      <c r="AI12" s="549" t="str">
        <f t="shared" si="36"/>
        <v>normal</v>
      </c>
      <c r="AJ12" s="537" t="str">
        <f t="shared" si="37"/>
        <v>Apr</v>
      </c>
      <c r="AK12" s="447">
        <f t="shared" si="38"/>
        <v>2019</v>
      </c>
      <c r="AL12" s="447">
        <f t="shared" ref="AL12:AL75" si="46">AL11+1</f>
        <v>2</v>
      </c>
      <c r="AM12" s="496">
        <f>IF(OR(التوصية!$B$248='بيانات للادخال'!$F$2,التوصية!$B$248='بيانات للادخال'!$F$3),AN12*(1+PNAVAT),IF(التوصية!$B$248='بيانات للادخال'!$F$4,(AN12-AQ12)+AQ12*(1+PNAVAT)))</f>
        <v>199.36258585858587</v>
      </c>
      <c r="AN12" s="496">
        <f t="shared" si="39"/>
        <v>171.86429815395334</v>
      </c>
      <c r="AO12" s="9">
        <f t="shared" si="40"/>
        <v>0</v>
      </c>
      <c r="AP12" s="9">
        <f t="shared" si="41"/>
        <v>171.86429815395334</v>
      </c>
      <c r="AQ12" s="9">
        <f t="shared" si="44"/>
        <v>66.980202678313546</v>
      </c>
      <c r="AR12" s="550">
        <f t="shared" si="45"/>
        <v>6236.2392826462228</v>
      </c>
      <c r="AS12" s="501" t="str">
        <f t="shared" si="0"/>
        <v>Nov</v>
      </c>
      <c r="AT12" s="1005" t="s">
        <v>40</v>
      </c>
      <c r="AU12" s="539" t="str">
        <f t="shared" si="11"/>
        <v>Jun</v>
      </c>
      <c r="AV12" s="447">
        <f t="shared" si="12"/>
        <v>2019</v>
      </c>
      <c r="AW12" s="447" t="str">
        <f t="shared" si="22"/>
        <v>Jun 2019</v>
      </c>
      <c r="AX12" s="448">
        <f t="shared" si="42"/>
        <v>4</v>
      </c>
      <c r="AY12" s="496">
        <f>IF(OR(التوصية!$B$248='بيانات للادخال'!$F$2,التوصية!$B$248='بيانات للادخال'!$F$3),AZ12*(1+PNAVAT),IF(التوصية!$B$248='بيانات للادخال'!$F$4,(AZ12-BC12)+BC12*(1+PNAVAT)))</f>
        <v>239.23510303030307</v>
      </c>
      <c r="AZ12" s="496">
        <f t="shared" si="13"/>
        <v>206.23715778474403</v>
      </c>
      <c r="BA12" s="9">
        <f t="shared" si="14"/>
        <v>0</v>
      </c>
      <c r="BB12" s="9">
        <f t="shared" si="15"/>
        <v>206.23715778474403</v>
      </c>
      <c r="BC12" s="9">
        <f t="shared" si="23"/>
        <v>66.675887238438435</v>
      </c>
      <c r="BD12" s="9">
        <f t="shared" si="43"/>
        <v>139.56127054630559</v>
      </c>
      <c r="BE12" s="9">
        <f t="shared" si="24"/>
        <v>5895.7494721878893</v>
      </c>
      <c r="BF12" s="531">
        <f>IF($E$1='بيانات للادخال'!$M$2,IF(AND(OR(AX12=11+$Z$3,AX12=12+$Z$3,AX12=23+$Z$3,AX12=24+$Z$3,AX12=35+$Z$3,AX12=36+$Z$3,AX12=47+$Z$3,AX12=48+$Z$3,AX12=59+$Z$3,AX12=60+$Z$3),AX12&lt;=$G$3),$E$61/2,AY12),IF($E$1='بيانات للادخال'!$M$3,AC12))</f>
        <v>199.36258585858587</v>
      </c>
      <c r="BG12" s="547" t="str">
        <f t="shared" si="25"/>
        <v>Jun 2019</v>
      </c>
      <c r="BH12" s="541">
        <f t="shared" si="26"/>
        <v>239.23510303030307</v>
      </c>
      <c r="BI12" s="548">
        <f t="shared" si="27"/>
        <v>206.23715778474403</v>
      </c>
    </row>
    <row r="13" spans="1:61">
      <c r="A13" s="552" t="s">
        <v>282</v>
      </c>
      <c r="B13" s="9"/>
      <c r="D13" s="1405">
        <f>الأصل!A5</f>
        <v>0</v>
      </c>
      <c r="E13" s="1406"/>
      <c r="G13" s="536">
        <f t="shared" si="28"/>
        <v>2019</v>
      </c>
      <c r="H13" s="537" t="str">
        <f t="shared" si="16"/>
        <v>Jul</v>
      </c>
      <c r="I13" s="447">
        <f t="shared" si="29"/>
        <v>5</v>
      </c>
      <c r="J13" s="496">
        <f>IF(OR(التوصية!$B$248='بيانات للادخال'!$F$2,التوصية!$B$248='بيانات للادخال'!$F$3),K13*(1+PNAVAT),IF(التوصية!$B$248='بيانات للادخال'!$F$4,(K13-N13)+N13*(1+PNAVAT)))</f>
        <v>199.36258585858587</v>
      </c>
      <c r="K13" s="496">
        <f t="shared" si="17"/>
        <v>171.86429815395334</v>
      </c>
      <c r="L13" s="9">
        <f t="shared" si="1"/>
        <v>0</v>
      </c>
      <c r="M13" s="9">
        <f t="shared" si="2"/>
        <v>171.86429815395334</v>
      </c>
      <c r="N13" s="9">
        <f t="shared" si="18"/>
        <v>63.621353922639003</v>
      </c>
      <c r="O13" s="538">
        <f t="shared" si="30"/>
        <v>5914.892826858726</v>
      </c>
      <c r="P13" s="539" t="str">
        <f t="shared" si="3"/>
        <v>Jul</v>
      </c>
      <c r="Q13" s="447">
        <f t="shared" si="4"/>
        <v>2019</v>
      </c>
      <c r="R13" s="447">
        <f t="shared" si="31"/>
        <v>5</v>
      </c>
      <c r="S13" s="496">
        <f>IF(OR(التوصية!$B$248='بيانات للادخال'!$F$2,التوصية!$B$248='بيانات للادخال'!$F$3),T13*(1+PNAVAT),IF(التوصية!$B$248='بيانات للادخال'!$F$4,(T13-W13)+W13*(1+PNAVAT)))</f>
        <v>199.36258585858587</v>
      </c>
      <c r="T13" s="9">
        <f t="shared" si="19"/>
        <v>171.86429815395334</v>
      </c>
      <c r="U13" s="9">
        <f t="shared" si="5"/>
        <v>0</v>
      </c>
      <c r="V13" s="9">
        <f t="shared" si="6"/>
        <v>171.86429815395334</v>
      </c>
      <c r="W13" s="9">
        <f t="shared" si="20"/>
        <v>63.621353922639003</v>
      </c>
      <c r="X13" s="9">
        <f t="shared" si="32"/>
        <v>5914.892826858726</v>
      </c>
      <c r="Y13" s="538">
        <f t="shared" si="33"/>
        <v>108.24294423131434</v>
      </c>
      <c r="Z13" s="494">
        <f t="shared" si="7"/>
        <v>2019</v>
      </c>
      <c r="AA13" s="537" t="str">
        <f t="shared" si="7"/>
        <v>Jul</v>
      </c>
      <c r="AB13" s="447">
        <f t="shared" si="34"/>
        <v>5</v>
      </c>
      <c r="AC13" s="496">
        <f>IF(OR(التوصية!$B$248='بيانات للادخال'!$F$2,التوصية!$B$248='بيانات للادخال'!$F$3),AD13*(1+PNAVAT),IF(التوصية!$B$248='بيانات للادخال'!$F$4,(AD13-AG13)+AG13*(1+PNAVAT)))</f>
        <v>199.36258585858587</v>
      </c>
      <c r="AD13" s="496">
        <f t="shared" si="8"/>
        <v>171.86429815395334</v>
      </c>
      <c r="AE13" s="9">
        <f t="shared" si="9"/>
        <v>0</v>
      </c>
      <c r="AF13" s="9">
        <f t="shared" si="10"/>
        <v>171.86429815395334</v>
      </c>
      <c r="AG13" s="9">
        <f t="shared" si="21"/>
        <v>63.621353922639003</v>
      </c>
      <c r="AH13" s="538">
        <f t="shared" si="35"/>
        <v>5914.892826858726</v>
      </c>
      <c r="AI13" s="549" t="str">
        <f t="shared" si="36"/>
        <v>normal</v>
      </c>
      <c r="AJ13" s="537" t="str">
        <f t="shared" si="37"/>
        <v>May</v>
      </c>
      <c r="AK13" s="447">
        <f t="shared" si="38"/>
        <v>2019</v>
      </c>
      <c r="AL13" s="447">
        <f t="shared" si="46"/>
        <v>3</v>
      </c>
      <c r="AM13" s="496">
        <f>IF(OR(التوصية!$B$248='بيانات للادخال'!$F$2,التوصية!$B$248='بيانات للادخال'!$F$3),AN13*(1+PNAVAT),IF(التوصية!$B$248='بيانات للادخال'!$F$4,(AN13-AQ13)+AQ13*(1+PNAVAT)))</f>
        <v>199.36258585858587</v>
      </c>
      <c r="AN13" s="496">
        <f t="shared" si="39"/>
        <v>171.86429815395334</v>
      </c>
      <c r="AO13" s="9">
        <f t="shared" si="40"/>
        <v>0</v>
      </c>
      <c r="AP13" s="9">
        <f t="shared" si="41"/>
        <v>171.86429815395334</v>
      </c>
      <c r="AQ13" s="9">
        <f t="shared" si="44"/>
        <v>65.872329900293153</v>
      </c>
      <c r="AR13" s="550">
        <f t="shared" si="45"/>
        <v>6130.2473143925627</v>
      </c>
      <c r="AS13" s="501" t="str">
        <f t="shared" si="0"/>
        <v>Dec</v>
      </c>
      <c r="AT13" s="1005" t="s">
        <v>40</v>
      </c>
      <c r="AU13" s="539" t="str">
        <f t="shared" si="11"/>
        <v>Jul</v>
      </c>
      <c r="AV13" s="447">
        <f t="shared" si="12"/>
        <v>2019</v>
      </c>
      <c r="AW13" s="447" t="str">
        <f t="shared" si="22"/>
        <v>Jul 2019</v>
      </c>
      <c r="AX13" s="448">
        <f t="shared" si="42"/>
        <v>5</v>
      </c>
      <c r="AY13" s="496">
        <f>IF(OR(التوصية!$B$248='بيانات للادخال'!$F$2,التوصية!$B$248='بيانات للادخال'!$F$3),AZ13*(1+PNAVAT),IF(التوصية!$B$248='بيانات للادخال'!$F$4,(AZ13-BC13)+BC13*(1+PNAVAT)))</f>
        <v>239.23510303030307</v>
      </c>
      <c r="AZ13" s="496">
        <f t="shared" si="13"/>
        <v>206.23715778474403</v>
      </c>
      <c r="BA13" s="9">
        <f t="shared" si="14"/>
        <v>0</v>
      </c>
      <c r="BB13" s="9">
        <f t="shared" si="15"/>
        <v>206.23715778474403</v>
      </c>
      <c r="BC13" s="9">
        <f t="shared" si="23"/>
        <v>65.134065792210308</v>
      </c>
      <c r="BD13" s="9">
        <f t="shared" si="43"/>
        <v>141.10309199253373</v>
      </c>
      <c r="BE13" s="9">
        <f t="shared" si="24"/>
        <v>5754.646380195356</v>
      </c>
      <c r="BF13" s="531">
        <f>IF($E$1='بيانات للادخال'!$M$2,IF(AND(OR(AX13=11+$Z$3,AX13=12+$Z$3,AX13=23+$Z$3,AX13=24+$Z$3,AX13=35+$Z$3,AX13=36+$Z$3,AX13=47+$Z$3,AX13=48+$Z$3,AX13=59+$Z$3,AX13=60+$Z$3),AX13&lt;=$G$3),$E$61/2,AY13),IF($E$1='بيانات للادخال'!$M$3,AC13))</f>
        <v>199.36258585858587</v>
      </c>
      <c r="BG13" s="547" t="str">
        <f t="shared" si="25"/>
        <v>Jul 2019</v>
      </c>
      <c r="BH13" s="541">
        <f t="shared" si="26"/>
        <v>239.23510303030307</v>
      </c>
      <c r="BI13" s="548">
        <f t="shared" si="27"/>
        <v>206.23715778474403</v>
      </c>
    </row>
    <row r="14" spans="1:61">
      <c r="A14" s="451" t="s">
        <v>271</v>
      </c>
      <c r="B14" s="9"/>
      <c r="D14" s="1403" t="s">
        <v>308</v>
      </c>
      <c r="E14" s="1404"/>
      <c r="G14" s="536">
        <f t="shared" si="28"/>
        <v>2019</v>
      </c>
      <c r="H14" s="537" t="str">
        <f t="shared" si="16"/>
        <v>Aug</v>
      </c>
      <c r="I14" s="447">
        <f t="shared" si="29"/>
        <v>6</v>
      </c>
      <c r="J14" s="496">
        <f>IF(OR(التوصية!$B$248='بيانات للادخال'!$F$2,التوصية!$B$248='بيانات للادخال'!$F$3),K14*(1+PNAVAT),IF(التوصية!$B$248='بيانات للادخال'!$F$4,(K14-N14)+N14*(1+PNAVAT)))</f>
        <v>199.36258585858587</v>
      </c>
      <c r="K14" s="496">
        <f t="shared" si="17"/>
        <v>171.86429815395334</v>
      </c>
      <c r="L14" s="9">
        <f t="shared" si="1"/>
        <v>0</v>
      </c>
      <c r="M14" s="9">
        <f t="shared" si="2"/>
        <v>171.86429815395334</v>
      </c>
      <c r="N14" s="9">
        <f t="shared" si="18"/>
        <v>62.478002199169111</v>
      </c>
      <c r="O14" s="538">
        <f t="shared" si="30"/>
        <v>5805.5065309039419</v>
      </c>
      <c r="P14" s="539" t="str">
        <f t="shared" si="3"/>
        <v>Aug</v>
      </c>
      <c r="Q14" s="447">
        <f t="shared" si="4"/>
        <v>2019</v>
      </c>
      <c r="R14" s="447">
        <f t="shared" si="31"/>
        <v>6</v>
      </c>
      <c r="S14" s="496">
        <f>IF(OR(التوصية!$B$248='بيانات للادخال'!$F$2,التوصية!$B$248='بيانات للادخال'!$F$3),T14*(1+PNAVAT),IF(التوصية!$B$248='بيانات للادخال'!$F$4,(T14-W14)+W14*(1+PNAVAT)))</f>
        <v>199.36258585858587</v>
      </c>
      <c r="T14" s="9">
        <f t="shared" si="19"/>
        <v>171.86429815395334</v>
      </c>
      <c r="U14" s="9">
        <f t="shared" si="5"/>
        <v>0</v>
      </c>
      <c r="V14" s="9">
        <f t="shared" si="6"/>
        <v>171.86429815395334</v>
      </c>
      <c r="W14" s="9">
        <f t="shared" si="20"/>
        <v>62.478002199169111</v>
      </c>
      <c r="X14" s="9">
        <f t="shared" si="32"/>
        <v>5805.5065309039419</v>
      </c>
      <c r="Y14" s="538">
        <f t="shared" si="33"/>
        <v>109.38629595478423</v>
      </c>
      <c r="Z14" s="494">
        <f t="shared" si="7"/>
        <v>2019</v>
      </c>
      <c r="AA14" s="537" t="str">
        <f t="shared" si="7"/>
        <v>Aug</v>
      </c>
      <c r="AB14" s="447">
        <f t="shared" si="34"/>
        <v>6</v>
      </c>
      <c r="AC14" s="496">
        <f>IF(OR(التوصية!$B$248='بيانات للادخال'!$F$2,التوصية!$B$248='بيانات للادخال'!$F$3),AD14*(1+PNAVAT),IF(التوصية!$B$248='بيانات للادخال'!$F$4,(AD14-AG14)+AG14*(1+PNAVAT)))</f>
        <v>199.36258585858587</v>
      </c>
      <c r="AD14" s="496">
        <f t="shared" si="8"/>
        <v>171.86429815395334</v>
      </c>
      <c r="AE14" s="9">
        <f t="shared" si="9"/>
        <v>0</v>
      </c>
      <c r="AF14" s="9">
        <f t="shared" si="10"/>
        <v>171.86429815395334</v>
      </c>
      <c r="AG14" s="9">
        <f t="shared" si="21"/>
        <v>62.478002199169111</v>
      </c>
      <c r="AH14" s="538">
        <f t="shared" si="35"/>
        <v>5805.5065309039419</v>
      </c>
      <c r="AI14" s="549" t="str">
        <f t="shared" si="36"/>
        <v>normal</v>
      </c>
      <c r="AJ14" s="537" t="str">
        <f t="shared" si="37"/>
        <v>Jun</v>
      </c>
      <c r="AK14" s="447">
        <f t="shared" si="38"/>
        <v>2019</v>
      </c>
      <c r="AL14" s="447">
        <f t="shared" si="46"/>
        <v>4</v>
      </c>
      <c r="AM14" s="496">
        <f>IF(OR(التوصية!$B$248='بيانات للادخال'!$F$2,التوصية!$B$248='بيانات للادخال'!$F$3),AN14*(1+PNAVAT),IF(التوصية!$B$248='بيانات للادخال'!$F$4,(AN14-AQ14)+AQ14*(1+PNAVAT)))</f>
        <v>199.36258585858587</v>
      </c>
      <c r="AN14" s="496">
        <f t="shared" si="39"/>
        <v>171.86429815395334</v>
      </c>
      <c r="AO14" s="9">
        <f t="shared" si="40"/>
        <v>0</v>
      </c>
      <c r="AP14" s="9">
        <f t="shared" si="41"/>
        <v>171.86429815395334</v>
      </c>
      <c r="AQ14" s="9">
        <f t="shared" si="44"/>
        <v>64.752754851430709</v>
      </c>
      <c r="AR14" s="550">
        <f t="shared" si="45"/>
        <v>6023.1357710900402</v>
      </c>
      <c r="AS14" s="553" t="str">
        <f t="shared" si="0"/>
        <v>Jan</v>
      </c>
      <c r="AT14" s="1006" t="s">
        <v>40</v>
      </c>
      <c r="AU14" s="539" t="str">
        <f t="shared" si="11"/>
        <v>Aug</v>
      </c>
      <c r="AV14" s="447">
        <f t="shared" si="12"/>
        <v>2019</v>
      </c>
      <c r="AW14" s="447" t="str">
        <f t="shared" si="22"/>
        <v>Aug 2019</v>
      </c>
      <c r="AX14" s="448">
        <f t="shared" si="42"/>
        <v>6</v>
      </c>
      <c r="AY14" s="496">
        <f>IF(OR(التوصية!$B$248='بيانات للادخال'!$F$2,التوصية!$B$248='بيانات للادخال'!$F$3),AZ14*(1+PNAVAT),IF(التوصية!$B$248='بيانات للادخال'!$F$4,(AZ14-BC14)+BC14*(1+PNAVAT)))</f>
        <v>239.23510303030307</v>
      </c>
      <c r="AZ14" s="496">
        <f t="shared" si="13"/>
        <v>206.23715778474403</v>
      </c>
      <c r="BA14" s="9">
        <f t="shared" si="14"/>
        <v>0</v>
      </c>
      <c r="BB14" s="9">
        <f t="shared" si="15"/>
        <v>206.23715778474403</v>
      </c>
      <c r="BC14" s="9">
        <f t="shared" si="23"/>
        <v>63.575210871274294</v>
      </c>
      <c r="BD14" s="9">
        <f t="shared" si="43"/>
        <v>142.66194691346973</v>
      </c>
      <c r="BE14" s="9">
        <f t="shared" si="24"/>
        <v>5611.9844332818866</v>
      </c>
      <c r="BF14" s="531">
        <f>IF($E$1='بيانات للادخال'!$M$2,IF(AND(OR(AX14=11+$Z$3,AX14=12+$Z$3,AX14=23+$Z$3,AX14=24+$Z$3,AX14=35+$Z$3,AX14=36+$Z$3,AX14=47+$Z$3,AX14=48+$Z$3,AX14=59+$Z$3,AX14=60+$Z$3),AX14&lt;=$G$3),$E$61/2,AY14),IF($E$1='بيانات للادخال'!$M$3,AC14))</f>
        <v>199.36258585858587</v>
      </c>
      <c r="BG14" s="547" t="str">
        <f t="shared" si="25"/>
        <v>Aug 2019</v>
      </c>
      <c r="BH14" s="541">
        <f t="shared" si="26"/>
        <v>239.23510303030307</v>
      </c>
      <c r="BI14" s="548">
        <f t="shared" si="27"/>
        <v>206.23715778474403</v>
      </c>
    </row>
    <row r="15" spans="1:61">
      <c r="A15" s="471" t="s">
        <v>272</v>
      </c>
      <c r="B15" s="554"/>
      <c r="D15" s="121" t="s">
        <v>317</v>
      </c>
      <c r="E15" s="997"/>
      <c r="G15" s="536">
        <f t="shared" si="28"/>
        <v>2019</v>
      </c>
      <c r="H15" s="537" t="str">
        <f t="shared" si="16"/>
        <v>Sep</v>
      </c>
      <c r="I15" s="447">
        <f t="shared" si="29"/>
        <v>7</v>
      </c>
      <c r="J15" s="496">
        <f>IF(OR(التوصية!$B$248='بيانات للادخال'!$F$2,التوصية!$B$248='بيانات للادخال'!$F$3),K15*(1+PNAVAT),IF(التوصية!$B$248='بيانات للادخال'!$F$4,(K15-N15)+N15*(1+PNAVAT)))</f>
        <v>199.36258585858587</v>
      </c>
      <c r="K15" s="496">
        <f t="shared" si="17"/>
        <v>171.86429815395334</v>
      </c>
      <c r="L15" s="9">
        <f t="shared" si="1"/>
        <v>0</v>
      </c>
      <c r="M15" s="9">
        <f t="shared" si="2"/>
        <v>171.86429815395334</v>
      </c>
      <c r="N15" s="9">
        <f t="shared" si="18"/>
        <v>61.322573446819007</v>
      </c>
      <c r="O15" s="538">
        <f t="shared" si="30"/>
        <v>5694.9648061968073</v>
      </c>
      <c r="P15" s="539" t="str">
        <f t="shared" si="3"/>
        <v>Sep</v>
      </c>
      <c r="Q15" s="447">
        <f t="shared" si="4"/>
        <v>2019</v>
      </c>
      <c r="R15" s="447">
        <f t="shared" si="31"/>
        <v>7</v>
      </c>
      <c r="S15" s="496">
        <f>IF(OR(التوصية!$B$248='بيانات للادخال'!$F$2,التوصية!$B$248='بيانات للادخال'!$F$3),T15*(1+PNAVAT),IF(التوصية!$B$248='بيانات للادخال'!$F$4,(T15-W15)+W15*(1+PNAVAT)))</f>
        <v>199.36258585858587</v>
      </c>
      <c r="T15" s="9">
        <f t="shared" si="19"/>
        <v>171.86429815395334</v>
      </c>
      <c r="U15" s="9">
        <f t="shared" si="5"/>
        <v>0</v>
      </c>
      <c r="V15" s="9">
        <f t="shared" si="6"/>
        <v>171.86429815395334</v>
      </c>
      <c r="W15" s="9">
        <f t="shared" si="20"/>
        <v>61.322573446819007</v>
      </c>
      <c r="X15" s="9">
        <f t="shared" si="32"/>
        <v>5694.9648061968073</v>
      </c>
      <c r="Y15" s="538">
        <f t="shared" si="33"/>
        <v>110.54172470713434</v>
      </c>
      <c r="Z15" s="494">
        <f t="shared" si="7"/>
        <v>2019</v>
      </c>
      <c r="AA15" s="537" t="str">
        <f t="shared" si="7"/>
        <v>Sep</v>
      </c>
      <c r="AB15" s="447">
        <f t="shared" si="34"/>
        <v>7</v>
      </c>
      <c r="AC15" s="496">
        <f>IF(OR(التوصية!$B$248='بيانات للادخال'!$F$2,التوصية!$B$248='بيانات للادخال'!$F$3),AD15*(1+PNAVAT),IF(التوصية!$B$248='بيانات للادخال'!$F$4,(AD15-AG15)+AG15*(1+PNAVAT)))</f>
        <v>199.36258585858587</v>
      </c>
      <c r="AD15" s="496">
        <f t="shared" si="8"/>
        <v>171.86429815395334</v>
      </c>
      <c r="AE15" s="9">
        <f t="shared" si="9"/>
        <v>0</v>
      </c>
      <c r="AF15" s="9">
        <f t="shared" si="10"/>
        <v>171.86429815395334</v>
      </c>
      <c r="AG15" s="9">
        <f t="shared" si="21"/>
        <v>61.322573446819007</v>
      </c>
      <c r="AH15" s="538">
        <f t="shared" si="35"/>
        <v>5694.9648061968073</v>
      </c>
      <c r="AI15" s="549" t="str">
        <f t="shared" si="36"/>
        <v>normal</v>
      </c>
      <c r="AJ15" s="537" t="str">
        <f t="shared" si="37"/>
        <v>Jul</v>
      </c>
      <c r="AK15" s="447">
        <f t="shared" si="38"/>
        <v>2019</v>
      </c>
      <c r="AL15" s="447">
        <f t="shared" si="46"/>
        <v>5</v>
      </c>
      <c r="AM15" s="496">
        <f>IF(OR(التوصية!$B$248='بيانات للادخال'!$F$2,التوصية!$B$248='بيانات للادخال'!$F$3),AN15*(1+PNAVAT),IF(التوصية!$B$248='بيانات للادخال'!$F$4,(AN15-AQ15)+AQ15*(1+PNAVAT)))</f>
        <v>199.36258585858587</v>
      </c>
      <c r="AN15" s="496">
        <f t="shared" si="39"/>
        <v>171.86429815395334</v>
      </c>
      <c r="AO15" s="9">
        <f t="shared" si="40"/>
        <v>0</v>
      </c>
      <c r="AP15" s="9">
        <f t="shared" si="41"/>
        <v>171.86429815395334</v>
      </c>
      <c r="AQ15" s="9">
        <f t="shared" si="44"/>
        <v>63.621353922639003</v>
      </c>
      <c r="AR15" s="550">
        <f t="shared" si="45"/>
        <v>5914.892826858726</v>
      </c>
      <c r="AS15" s="501" t="str">
        <f t="shared" si="0"/>
        <v>Feb</v>
      </c>
      <c r="AT15" s="495" t="str">
        <f t="shared" ref="AT15:AT78" si="47">IF(AS15=AS3,AT3,"")</f>
        <v>normal</v>
      </c>
      <c r="AU15" s="539" t="str">
        <f t="shared" si="11"/>
        <v>Sep</v>
      </c>
      <c r="AV15" s="447">
        <f t="shared" si="12"/>
        <v>2019</v>
      </c>
      <c r="AW15" s="447" t="str">
        <f t="shared" si="22"/>
        <v>Sep 2019</v>
      </c>
      <c r="AX15" s="448">
        <f t="shared" si="42"/>
        <v>7</v>
      </c>
      <c r="AY15" s="496">
        <f>IF(OR(التوصية!$B$248='بيانات للادخال'!$F$2,التوصية!$B$248='بيانات للادخال'!$F$3),AZ15*(1+PNAVAT),IF(التوصية!$B$248='بيانات للادخال'!$F$4,(AZ15-BC15)+BC15*(1+PNAVAT)))</f>
        <v>239.23510303030307</v>
      </c>
      <c r="AZ15" s="496">
        <f t="shared" si="13"/>
        <v>206.23715778474403</v>
      </c>
      <c r="BA15" s="9">
        <f t="shared" si="14"/>
        <v>0</v>
      </c>
      <c r="BB15" s="9">
        <f t="shared" si="15"/>
        <v>206.23715778474403</v>
      </c>
      <c r="BC15" s="9">
        <f t="shared" si="23"/>
        <v>61.999134296083845</v>
      </c>
      <c r="BD15" s="9">
        <f t="shared" si="43"/>
        <v>144.23802348866019</v>
      </c>
      <c r="BE15" s="9">
        <f t="shared" si="24"/>
        <v>5467.7464097932261</v>
      </c>
      <c r="BF15" s="531">
        <f>IF($E$1='بيانات للادخال'!$M$2,IF(AND(OR(AX15=11+$Z$3,AX15=12+$Z$3,AX15=23+$Z$3,AX15=24+$Z$3,AX15=35+$Z$3,AX15=36+$Z$3,AX15=47+$Z$3,AX15=48+$Z$3,AX15=59+$Z$3,AX15=60+$Z$3),AX15&lt;=$G$3),$E$61/2,AY15),IF($E$1='بيانات للادخال'!$M$3,AC15))</f>
        <v>199.36258585858587</v>
      </c>
      <c r="BG15" s="547" t="str">
        <f t="shared" si="25"/>
        <v>Sep 2019</v>
      </c>
      <c r="BH15" s="541">
        <f t="shared" si="26"/>
        <v>239.23510303030307</v>
      </c>
      <c r="BI15" s="548">
        <f t="shared" si="27"/>
        <v>206.23715778474403</v>
      </c>
    </row>
    <row r="16" spans="1:61">
      <c r="A16" s="471" t="s">
        <v>273</v>
      </c>
      <c r="B16" s="554"/>
      <c r="D16" s="121" t="s">
        <v>338</v>
      </c>
      <c r="E16" s="565">
        <f>usdrate</f>
        <v>3.3</v>
      </c>
      <c r="G16" s="536">
        <f t="shared" si="28"/>
        <v>2019</v>
      </c>
      <c r="H16" s="537" t="str">
        <f t="shared" si="16"/>
        <v>Oct</v>
      </c>
      <c r="I16" s="447">
        <f t="shared" si="29"/>
        <v>8</v>
      </c>
      <c r="J16" s="496">
        <f>IF(OR(التوصية!$B$248='بيانات للادخال'!$F$2,التوصية!$B$248='بيانات للادخال'!$F$3),K16*(1+PNAVAT),IF(التوصية!$B$248='بيانات للادخال'!$F$4,(K16-N16)+N16*(1+PNAVAT)))</f>
        <v>199.36258585858587</v>
      </c>
      <c r="K16" s="496">
        <f t="shared" si="17"/>
        <v>171.86429815395334</v>
      </c>
      <c r="L16" s="9">
        <f t="shared" si="1"/>
        <v>0</v>
      </c>
      <c r="M16" s="9">
        <f t="shared" si="2"/>
        <v>171.86429815395334</v>
      </c>
      <c r="N16" s="9">
        <f t="shared" si="18"/>
        <v>60.154940097996331</v>
      </c>
      <c r="O16" s="538">
        <f t="shared" si="30"/>
        <v>5583.2554481408506</v>
      </c>
      <c r="P16" s="539" t="str">
        <f t="shared" si="3"/>
        <v>Oct</v>
      </c>
      <c r="Q16" s="447">
        <f t="shared" si="4"/>
        <v>2019</v>
      </c>
      <c r="R16" s="447">
        <f t="shared" si="31"/>
        <v>8</v>
      </c>
      <c r="S16" s="496">
        <f>IF(OR(التوصية!$B$248='بيانات للادخال'!$F$2,التوصية!$B$248='بيانات للادخال'!$F$3),T16*(1+PNAVAT),IF(التوصية!$B$248='بيانات للادخال'!$F$4,(T16-W16)+W16*(1+PNAVAT)))</f>
        <v>199.36258585858587</v>
      </c>
      <c r="T16" s="9">
        <f t="shared" si="19"/>
        <v>171.86429815395334</v>
      </c>
      <c r="U16" s="9">
        <f t="shared" si="5"/>
        <v>0</v>
      </c>
      <c r="V16" s="9">
        <f t="shared" si="6"/>
        <v>171.86429815395334</v>
      </c>
      <c r="W16" s="9">
        <f t="shared" si="20"/>
        <v>60.154940097996331</v>
      </c>
      <c r="X16" s="9">
        <f t="shared" si="32"/>
        <v>5583.2554481408506</v>
      </c>
      <c r="Y16" s="538">
        <f t="shared" si="33"/>
        <v>111.70935805595701</v>
      </c>
      <c r="Z16" s="494">
        <f t="shared" si="7"/>
        <v>2019</v>
      </c>
      <c r="AA16" s="537" t="str">
        <f t="shared" si="7"/>
        <v>Oct</v>
      </c>
      <c r="AB16" s="447">
        <f t="shared" si="34"/>
        <v>8</v>
      </c>
      <c r="AC16" s="496">
        <f>IF(OR(التوصية!$B$248='بيانات للادخال'!$F$2,التوصية!$B$248='بيانات للادخال'!$F$3),AD16*(1+PNAVAT),IF(التوصية!$B$248='بيانات للادخال'!$F$4,(AD16-AG16)+AG16*(1+PNAVAT)))</f>
        <v>199.36258585858587</v>
      </c>
      <c r="AD16" s="496">
        <f t="shared" si="8"/>
        <v>171.86429815395334</v>
      </c>
      <c r="AE16" s="9">
        <f t="shared" si="9"/>
        <v>0</v>
      </c>
      <c r="AF16" s="9">
        <f t="shared" si="10"/>
        <v>171.86429815395334</v>
      </c>
      <c r="AG16" s="9">
        <f t="shared" si="21"/>
        <v>60.154940097996331</v>
      </c>
      <c r="AH16" s="538">
        <f t="shared" si="35"/>
        <v>5583.2554481408506</v>
      </c>
      <c r="AI16" s="549" t="str">
        <f t="shared" si="36"/>
        <v>normal</v>
      </c>
      <c r="AJ16" s="537" t="str">
        <f t="shared" si="37"/>
        <v>Aug</v>
      </c>
      <c r="AK16" s="447">
        <f t="shared" si="38"/>
        <v>2019</v>
      </c>
      <c r="AL16" s="447">
        <f t="shared" si="46"/>
        <v>6</v>
      </c>
      <c r="AM16" s="496">
        <f>IF(OR(التوصية!$B$248='بيانات للادخال'!$F$2,التوصية!$B$248='بيانات للادخال'!$F$3),AN16*(1+PNAVAT),IF(التوصية!$B$248='بيانات للادخال'!$F$4,(AN16-AQ16)+AQ16*(1+PNAVAT)))</f>
        <v>199.36258585858587</v>
      </c>
      <c r="AN16" s="496">
        <f t="shared" si="39"/>
        <v>171.86429815395334</v>
      </c>
      <c r="AO16" s="9">
        <f t="shared" si="40"/>
        <v>0</v>
      </c>
      <c r="AP16" s="9">
        <f t="shared" si="41"/>
        <v>171.86429815395334</v>
      </c>
      <c r="AQ16" s="9">
        <f t="shared" si="44"/>
        <v>62.478002199169111</v>
      </c>
      <c r="AR16" s="550">
        <f t="shared" si="45"/>
        <v>5805.5065309039419</v>
      </c>
      <c r="AS16" s="501" t="str">
        <f t="shared" si="0"/>
        <v>Mar</v>
      </c>
      <c r="AT16" s="495" t="str">
        <f t="shared" si="47"/>
        <v>normal</v>
      </c>
      <c r="AU16" s="539" t="str">
        <f t="shared" si="11"/>
        <v>Oct</v>
      </c>
      <c r="AV16" s="447">
        <f t="shared" si="12"/>
        <v>2019</v>
      </c>
      <c r="AW16" s="447" t="str">
        <f t="shared" si="22"/>
        <v>Oct 2019</v>
      </c>
      <c r="AX16" s="448">
        <f t="shared" si="42"/>
        <v>8</v>
      </c>
      <c r="AY16" s="496">
        <f>IF(OR(التوصية!$B$248='بيانات للادخال'!$F$2,التوصية!$B$248='بيانات للادخال'!$F$3),AZ16*(1+PNAVAT),IF(التوصية!$B$248='بيانات للادخال'!$F$4,(AZ16-BC16)+BC16*(1+PNAVAT)))</f>
        <v>239.23510303030307</v>
      </c>
      <c r="AZ16" s="496">
        <f t="shared" si="13"/>
        <v>206.23715778474403</v>
      </c>
      <c r="BA16" s="9">
        <f t="shared" si="14"/>
        <v>0</v>
      </c>
      <c r="BB16" s="9">
        <f t="shared" si="15"/>
        <v>206.23715778474403</v>
      </c>
      <c r="BC16" s="9">
        <f t="shared" si="23"/>
        <v>60.40564580815419</v>
      </c>
      <c r="BD16" s="9">
        <f t="shared" si="43"/>
        <v>145.83151197658984</v>
      </c>
      <c r="BE16" s="9">
        <f t="shared" si="24"/>
        <v>5321.9148978166359</v>
      </c>
      <c r="BF16" s="531">
        <f>IF($E$1='بيانات للادخال'!$M$2,IF(AND(OR(AX16=11+$Z$3,AX16=12+$Z$3,AX16=23+$Z$3,AX16=24+$Z$3,AX16=35+$Z$3,AX16=36+$Z$3,AX16=47+$Z$3,AX16=48+$Z$3,AX16=59+$Z$3,AX16=60+$Z$3),AX16&lt;=$G$3),$E$61/2,AY16),IF($E$1='بيانات للادخال'!$M$3,AC16))</f>
        <v>199.36258585858587</v>
      </c>
      <c r="BG16" s="547" t="str">
        <f t="shared" si="25"/>
        <v>Oct 2019</v>
      </c>
      <c r="BH16" s="541">
        <f t="shared" si="26"/>
        <v>239.23510303030307</v>
      </c>
      <c r="BI16" s="548">
        <f t="shared" si="27"/>
        <v>206.23715778474403</v>
      </c>
    </row>
    <row r="17" spans="1:61">
      <c r="A17" s="471" t="s">
        <v>274</v>
      </c>
      <c r="B17" s="554"/>
      <c r="D17" s="121" t="s">
        <v>339</v>
      </c>
      <c r="E17" s="566">
        <f>IF(OR(التوصية!$B$248='بيانات للادخال'!$F$2,التوصية!$B$248='بيانات للادخال'!$F$3),الأصل!$E$5/(1+PNAVAT),IF(التوصية!$B$248='بيانات للادخال'!$F$4,الأصل!$E$5))</f>
        <v>0</v>
      </c>
      <c r="G17" s="536">
        <f t="shared" si="28"/>
        <v>2019</v>
      </c>
      <c r="H17" s="537" t="str">
        <f t="shared" si="16"/>
        <v>Nov</v>
      </c>
      <c r="I17" s="447">
        <f t="shared" si="29"/>
        <v>9</v>
      </c>
      <c r="J17" s="496">
        <f>IF(OR(التوصية!$B$248='بيانات للادخال'!$F$2,التوصية!$B$248='بيانات للادخال'!$F$3),K17*(1+PNAVAT),IF(التوصية!$B$248='بيانات للادخال'!$F$4,(K17-N17)+N17*(1+PNAVAT)))</f>
        <v>199.36258585858587</v>
      </c>
      <c r="K17" s="496">
        <f t="shared" si="17"/>
        <v>171.86429815395334</v>
      </c>
      <c r="L17" s="9">
        <f t="shared" si="1"/>
        <v>0</v>
      </c>
      <c r="M17" s="9">
        <f t="shared" si="2"/>
        <v>171.86429815395334</v>
      </c>
      <c r="N17" s="9">
        <f t="shared" si="18"/>
        <v>58.974973237634053</v>
      </c>
      <c r="O17" s="538">
        <f t="shared" si="30"/>
        <v>5470.3661232245313</v>
      </c>
      <c r="P17" s="539" t="str">
        <f t="shared" si="3"/>
        <v>Nov</v>
      </c>
      <c r="Q17" s="447">
        <f t="shared" si="4"/>
        <v>2019</v>
      </c>
      <c r="R17" s="447">
        <f t="shared" si="31"/>
        <v>9</v>
      </c>
      <c r="S17" s="496">
        <f>IF(OR(التوصية!$B$248='بيانات للادخال'!$F$2,التوصية!$B$248='بيانات للادخال'!$F$3),T17*(1+PNAVAT),IF(التوصية!$B$248='بيانات للادخال'!$F$4,(T17-W17)+W17*(1+PNAVAT)))</f>
        <v>199.36258585858587</v>
      </c>
      <c r="T17" s="9">
        <f t="shared" si="19"/>
        <v>171.86429815395334</v>
      </c>
      <c r="U17" s="9">
        <f t="shared" si="5"/>
        <v>0</v>
      </c>
      <c r="V17" s="9">
        <f t="shared" si="6"/>
        <v>171.86429815395334</v>
      </c>
      <c r="W17" s="9">
        <f t="shared" si="20"/>
        <v>58.974973237634053</v>
      </c>
      <c r="X17" s="9">
        <f t="shared" si="32"/>
        <v>5470.3661232245313</v>
      </c>
      <c r="Y17" s="538">
        <f t="shared" si="33"/>
        <v>112.88932491631928</v>
      </c>
      <c r="Z17" s="494">
        <f t="shared" si="7"/>
        <v>2019</v>
      </c>
      <c r="AA17" s="537" t="str">
        <f t="shared" si="7"/>
        <v>Nov</v>
      </c>
      <c r="AB17" s="447">
        <f t="shared" si="34"/>
        <v>9</v>
      </c>
      <c r="AC17" s="496">
        <f>IF(OR(التوصية!$B$248='بيانات للادخال'!$F$2,التوصية!$B$248='بيانات للادخال'!$F$3),AD17*(1+PNAVAT),IF(التوصية!$B$248='بيانات للادخال'!$F$4,(AD17-AG17)+AG17*(1+PNAVAT)))</f>
        <v>199.36258585858587</v>
      </c>
      <c r="AD17" s="496">
        <f t="shared" si="8"/>
        <v>171.86429815395334</v>
      </c>
      <c r="AE17" s="9">
        <f t="shared" si="9"/>
        <v>0</v>
      </c>
      <c r="AF17" s="9">
        <f t="shared" si="10"/>
        <v>171.86429815395334</v>
      </c>
      <c r="AG17" s="9">
        <f t="shared" si="21"/>
        <v>58.974973237634053</v>
      </c>
      <c r="AH17" s="538">
        <f t="shared" si="35"/>
        <v>5470.3661232245313</v>
      </c>
      <c r="AI17" s="549" t="str">
        <f t="shared" si="36"/>
        <v>normal</v>
      </c>
      <c r="AJ17" s="537" t="str">
        <f t="shared" si="37"/>
        <v>Sep</v>
      </c>
      <c r="AK17" s="447">
        <f t="shared" si="38"/>
        <v>2019</v>
      </c>
      <c r="AL17" s="447">
        <f t="shared" si="46"/>
        <v>7</v>
      </c>
      <c r="AM17" s="496">
        <f>IF(OR(التوصية!$B$248='بيانات للادخال'!$F$2,التوصية!$B$248='بيانات للادخال'!$F$3),AN17*(1+PNAVAT),IF(التوصية!$B$248='بيانات للادخال'!$F$4,(AN17-AQ17)+AQ17*(1+PNAVAT)))</f>
        <v>199.36258585858587</v>
      </c>
      <c r="AN17" s="496">
        <f t="shared" si="39"/>
        <v>171.86429815395334</v>
      </c>
      <c r="AO17" s="9">
        <f t="shared" si="40"/>
        <v>0</v>
      </c>
      <c r="AP17" s="9">
        <f t="shared" si="41"/>
        <v>171.86429815395334</v>
      </c>
      <c r="AQ17" s="9">
        <f t="shared" si="44"/>
        <v>61.322573446819007</v>
      </c>
      <c r="AR17" s="550">
        <f t="shared" si="45"/>
        <v>5694.9648061968073</v>
      </c>
      <c r="AS17" s="501" t="str">
        <f t="shared" si="0"/>
        <v>Apr</v>
      </c>
      <c r="AT17" s="495" t="str">
        <f t="shared" si="47"/>
        <v>normal</v>
      </c>
      <c r="AU17" s="539" t="str">
        <f t="shared" si="11"/>
        <v>Nov</v>
      </c>
      <c r="AV17" s="447">
        <f t="shared" si="12"/>
        <v>2019</v>
      </c>
      <c r="AW17" s="447" t="str">
        <f t="shared" si="22"/>
        <v>Nov 2019</v>
      </c>
      <c r="AX17" s="448">
        <f t="shared" si="42"/>
        <v>9</v>
      </c>
      <c r="AY17" s="496">
        <f>IF(OR(التوصية!$B$248='بيانات للادخال'!$F$2,التوصية!$B$248='بيانات للادخال'!$F$3),AZ17*(1+PNAVAT),IF(التوصية!$B$248='بيانات للادخال'!$F$4,(AZ17-BC17)+BC17*(1+PNAVAT)))</f>
        <v>239.23510303030307</v>
      </c>
      <c r="AZ17" s="496">
        <f t="shared" si="13"/>
        <v>206.23715778474403</v>
      </c>
      <c r="BA17" s="9">
        <f t="shared" si="14"/>
        <v>0</v>
      </c>
      <c r="BB17" s="9">
        <f t="shared" si="15"/>
        <v>206.23715778474403</v>
      </c>
      <c r="BC17" s="9">
        <f t="shared" si="23"/>
        <v>58.794553047094951</v>
      </c>
      <c r="BD17" s="9">
        <f t="shared" si="43"/>
        <v>147.44260473764908</v>
      </c>
      <c r="BE17" s="9">
        <f t="shared" si="24"/>
        <v>5174.4722930789867</v>
      </c>
      <c r="BF17" s="531">
        <f>IF($E$1='بيانات للادخال'!$M$2,IF(AND(OR(AX17=11+$Z$3,AX17=12+$Z$3,AX17=23+$Z$3,AX17=24+$Z$3,AX17=35+$Z$3,AX17=36+$Z$3,AX17=47+$Z$3,AX17=48+$Z$3,AX17=59+$Z$3,AX17=60+$Z$3),AX17&lt;=$G$3),$E$61/2,AY17),IF($E$1='بيانات للادخال'!$M$3,AC17))</f>
        <v>199.36258585858587</v>
      </c>
      <c r="BG17" s="547" t="str">
        <f t="shared" si="25"/>
        <v>Nov 2019</v>
      </c>
      <c r="BH17" s="541">
        <f t="shared" si="26"/>
        <v>239.23510303030307</v>
      </c>
      <c r="BI17" s="548">
        <f t="shared" si="27"/>
        <v>206.23715778474403</v>
      </c>
    </row>
    <row r="18" spans="1:61">
      <c r="A18" s="471" t="s">
        <v>275</v>
      </c>
      <c r="B18" s="554"/>
      <c r="D18" s="121" t="s">
        <v>340</v>
      </c>
      <c r="E18" s="566">
        <f>IF(OR(التوصية!$B$248='بيانات للادخال'!$F$2,التوصية!$B$248='بيانات للادخال'!$F$3),الأصل!$F$5/(1+PNAVAT),IF(التوصية!$B$248='بيانات للادخال'!$F$4,الأصل!$F$5))</f>
        <v>0</v>
      </c>
      <c r="G18" s="536">
        <f t="shared" si="28"/>
        <v>2019</v>
      </c>
      <c r="H18" s="537" t="str">
        <f t="shared" si="16"/>
        <v>Dec</v>
      </c>
      <c r="I18" s="447">
        <f t="shared" si="29"/>
        <v>10</v>
      </c>
      <c r="J18" s="496">
        <f>IF(OR(التوصية!$B$248='بيانات للادخال'!$F$2,التوصية!$B$248='بيانات للادخال'!$F$3),K18*(1+PNAVAT),IF(التوصية!$B$248='بيانات للادخال'!$F$4,(K18-N18)+N18*(1+PNAVAT)))</f>
        <v>199.36258585858587</v>
      </c>
      <c r="K18" s="496">
        <f t="shared" si="17"/>
        <v>171.86429815395334</v>
      </c>
      <c r="L18" s="9">
        <f t="shared" si="1"/>
        <v>0</v>
      </c>
      <c r="M18" s="9">
        <f t="shared" si="2"/>
        <v>171.86429815395334</v>
      </c>
      <c r="N18" s="9">
        <f t="shared" si="18"/>
        <v>57.78254258895732</v>
      </c>
      <c r="O18" s="538">
        <f t="shared" si="30"/>
        <v>5356.2843676595348</v>
      </c>
      <c r="P18" s="539" t="str">
        <f t="shared" si="3"/>
        <v>Dec</v>
      </c>
      <c r="Q18" s="447">
        <f t="shared" si="4"/>
        <v>2019</v>
      </c>
      <c r="R18" s="447">
        <f t="shared" si="31"/>
        <v>10</v>
      </c>
      <c r="S18" s="496">
        <f>IF(OR(التوصية!$B$248='بيانات للادخال'!$F$2,التوصية!$B$248='بيانات للادخال'!$F$3),T18*(1+PNAVAT),IF(التوصية!$B$248='بيانات للادخال'!$F$4,(T18-W18)+W18*(1+PNAVAT)))</f>
        <v>199.36258585858587</v>
      </c>
      <c r="T18" s="9">
        <f t="shared" si="19"/>
        <v>171.86429815395334</v>
      </c>
      <c r="U18" s="9">
        <f t="shared" si="5"/>
        <v>0</v>
      </c>
      <c r="V18" s="9">
        <f t="shared" si="6"/>
        <v>171.86429815395334</v>
      </c>
      <c r="W18" s="9">
        <f t="shared" si="20"/>
        <v>57.78254258895732</v>
      </c>
      <c r="X18" s="9">
        <f t="shared" si="32"/>
        <v>5356.2843676595348</v>
      </c>
      <c r="Y18" s="538">
        <f t="shared" si="33"/>
        <v>114.08175556499603</v>
      </c>
      <c r="Z18" s="494">
        <f t="shared" si="7"/>
        <v>2019</v>
      </c>
      <c r="AA18" s="537" t="str">
        <f t="shared" si="7"/>
        <v>Dec</v>
      </c>
      <c r="AB18" s="447">
        <f t="shared" si="34"/>
        <v>10</v>
      </c>
      <c r="AC18" s="496">
        <f>IF(OR(التوصية!$B$248='بيانات للادخال'!$F$2,التوصية!$B$248='بيانات للادخال'!$F$3),AD18*(1+PNAVAT),IF(التوصية!$B$248='بيانات للادخال'!$F$4,(AD18-AG18)+AG18*(1+PNAVAT)))</f>
        <v>199.36258585858587</v>
      </c>
      <c r="AD18" s="496">
        <f t="shared" si="8"/>
        <v>171.86429815395334</v>
      </c>
      <c r="AE18" s="9">
        <f t="shared" si="9"/>
        <v>0</v>
      </c>
      <c r="AF18" s="9">
        <f t="shared" si="10"/>
        <v>171.86429815395334</v>
      </c>
      <c r="AG18" s="9">
        <f t="shared" si="21"/>
        <v>57.78254258895732</v>
      </c>
      <c r="AH18" s="538">
        <f t="shared" si="35"/>
        <v>5356.2843676595348</v>
      </c>
      <c r="AI18" s="549" t="str">
        <f t="shared" si="36"/>
        <v>normal</v>
      </c>
      <c r="AJ18" s="537" t="str">
        <f t="shared" si="37"/>
        <v>Oct</v>
      </c>
      <c r="AK18" s="447">
        <f t="shared" si="38"/>
        <v>2019</v>
      </c>
      <c r="AL18" s="447">
        <f t="shared" si="46"/>
        <v>8</v>
      </c>
      <c r="AM18" s="496">
        <f>IF(OR(التوصية!$B$248='بيانات للادخال'!$F$2,التوصية!$B$248='بيانات للادخال'!$F$3),AN18*(1+PNAVAT),IF(التوصية!$B$248='بيانات للادخال'!$F$4,(AN18-AQ18)+AQ18*(1+PNAVAT)))</f>
        <v>199.36258585858587</v>
      </c>
      <c r="AN18" s="496">
        <f t="shared" si="39"/>
        <v>171.86429815395334</v>
      </c>
      <c r="AO18" s="9">
        <f t="shared" si="40"/>
        <v>0</v>
      </c>
      <c r="AP18" s="9">
        <f t="shared" si="41"/>
        <v>171.86429815395334</v>
      </c>
      <c r="AQ18" s="9">
        <f t="shared" si="44"/>
        <v>60.154940097996331</v>
      </c>
      <c r="AR18" s="550">
        <f t="shared" si="45"/>
        <v>5583.2554481408506</v>
      </c>
      <c r="AS18" s="501" t="str">
        <f t="shared" si="0"/>
        <v>May</v>
      </c>
      <c r="AT18" s="495" t="str">
        <f t="shared" si="47"/>
        <v>normal</v>
      </c>
      <c r="AU18" s="539" t="str">
        <f t="shared" si="11"/>
        <v>Dec</v>
      </c>
      <c r="AV18" s="447">
        <f t="shared" si="12"/>
        <v>2019</v>
      </c>
      <c r="AW18" s="447" t="str">
        <f t="shared" si="22"/>
        <v>Dec 2019</v>
      </c>
      <c r="AX18" s="448">
        <f t="shared" si="42"/>
        <v>10</v>
      </c>
      <c r="AY18" s="496">
        <f>IF(OR(التوصية!$B$248='بيانات للادخال'!$F$2,التوصية!$B$248='بيانات للادخال'!$F$3),AZ18*(1+PNAVAT),IF(التوصية!$B$248='بيانات للادخال'!$F$4,(AZ18-BC18)+BC18*(1+PNAVAT)))</f>
        <v>239.23510303030307</v>
      </c>
      <c r="AZ18" s="496">
        <f t="shared" si="13"/>
        <v>206.23715778474403</v>
      </c>
      <c r="BA18" s="9">
        <f t="shared" si="14"/>
        <v>0</v>
      </c>
      <c r="BB18" s="9">
        <f t="shared" si="15"/>
        <v>206.23715778474403</v>
      </c>
      <c r="BC18" s="9">
        <f t="shared" si="23"/>
        <v>57.165661527389126</v>
      </c>
      <c r="BD18" s="9">
        <f t="shared" si="43"/>
        <v>149.07149625735491</v>
      </c>
      <c r="BE18" s="9">
        <f t="shared" si="24"/>
        <v>5025.400796821632</v>
      </c>
      <c r="BF18" s="531">
        <f>IF($E$1='بيانات للادخال'!$M$2,IF(AND(OR(AX18=11+$Z$3,AX18=12+$Z$3,AX18=23+$Z$3,AX18=24+$Z$3,AX18=35+$Z$3,AX18=36+$Z$3,AX18=47+$Z$3,AX18=48+$Z$3,AX18=59+$Z$3,AX18=60+$Z$3),AX18&lt;=$G$3),$E$61/2,AY18),IF($E$1='بيانات للادخال'!$M$3,AC18))</f>
        <v>199.36258585858587</v>
      </c>
      <c r="BG18" s="547" t="str">
        <f t="shared" si="25"/>
        <v>Dec 2019</v>
      </c>
      <c r="BH18" s="541">
        <f t="shared" si="26"/>
        <v>239.23510303030307</v>
      </c>
      <c r="BI18" s="548">
        <f t="shared" si="27"/>
        <v>206.23715778474403</v>
      </c>
    </row>
    <row r="19" spans="1:61">
      <c r="A19" s="471" t="s">
        <v>276</v>
      </c>
      <c r="B19" s="554"/>
      <c r="D19" s="121" t="s">
        <v>9</v>
      </c>
      <c r="E19" s="22">
        <f>E17-E18</f>
        <v>0</v>
      </c>
      <c r="G19" s="536">
        <f t="shared" si="28"/>
        <v>2020</v>
      </c>
      <c r="H19" s="537" t="str">
        <f t="shared" si="16"/>
        <v>Jan</v>
      </c>
      <c r="I19" s="447">
        <f t="shared" si="29"/>
        <v>11</v>
      </c>
      <c r="J19" s="496">
        <f>IF(OR(التوصية!$B$248='بيانات للادخال'!$F$2,التوصية!$B$248='بيانات للادخال'!$F$3),K19*(1+PNAVAT),IF(التوصية!$B$248='بيانات للادخال'!$F$4,(K19-N19)+N19*(1+PNAVAT)))</f>
        <v>199.36258585858587</v>
      </c>
      <c r="K19" s="496">
        <f t="shared" si="17"/>
        <v>171.86429815395334</v>
      </c>
      <c r="L19" s="9">
        <f t="shared" si="1"/>
        <v>0</v>
      </c>
      <c r="M19" s="9">
        <f t="shared" si="2"/>
        <v>171.86429815395334</v>
      </c>
      <c r="N19" s="9">
        <f t="shared" si="18"/>
        <v>56.577516499099964</v>
      </c>
      <c r="O19" s="538">
        <f t="shared" si="30"/>
        <v>5240.9975860046816</v>
      </c>
      <c r="P19" s="539" t="str">
        <f t="shared" si="3"/>
        <v>Jan</v>
      </c>
      <c r="Q19" s="447">
        <f t="shared" si="4"/>
        <v>2020</v>
      </c>
      <c r="R19" s="447">
        <f t="shared" si="31"/>
        <v>11</v>
      </c>
      <c r="S19" s="496">
        <f>IF(OR(التوصية!$B$248='بيانات للادخال'!$F$2,التوصية!$B$248='بيانات للادخال'!$F$3),T19*(1+PNAVAT),IF(التوصية!$B$248='بيانات للادخال'!$F$4,(T19-W19)+W19*(1+PNAVAT)))</f>
        <v>199.36258585858587</v>
      </c>
      <c r="T19" s="9">
        <f t="shared" si="19"/>
        <v>171.86429815395334</v>
      </c>
      <c r="U19" s="9">
        <f t="shared" si="5"/>
        <v>0</v>
      </c>
      <c r="V19" s="9">
        <f t="shared" si="6"/>
        <v>171.86429815395334</v>
      </c>
      <c r="W19" s="9">
        <f t="shared" si="20"/>
        <v>56.577516499099964</v>
      </c>
      <c r="X19" s="9">
        <f t="shared" si="32"/>
        <v>5240.9975860046816</v>
      </c>
      <c r="Y19" s="538">
        <f t="shared" si="33"/>
        <v>115.28678165485337</v>
      </c>
      <c r="Z19" s="494">
        <f t="shared" si="7"/>
        <v>2020</v>
      </c>
      <c r="AA19" s="537" t="str">
        <f t="shared" si="7"/>
        <v>Jan</v>
      </c>
      <c r="AB19" s="447">
        <f t="shared" si="34"/>
        <v>11</v>
      </c>
      <c r="AC19" s="496">
        <f>IF(OR(التوصية!$B$248='بيانات للادخال'!$F$2,التوصية!$B$248='بيانات للادخال'!$F$3),AD19*(1+PNAVAT),IF(التوصية!$B$248='بيانات للادخال'!$F$4,(AD19-AG19)+AG19*(1+PNAVAT)))</f>
        <v>199.36258585858587</v>
      </c>
      <c r="AD19" s="496">
        <f t="shared" si="8"/>
        <v>171.86429815395334</v>
      </c>
      <c r="AE19" s="9">
        <f t="shared" si="9"/>
        <v>0</v>
      </c>
      <c r="AF19" s="9">
        <f t="shared" si="10"/>
        <v>171.86429815395334</v>
      </c>
      <c r="AG19" s="9">
        <f t="shared" si="21"/>
        <v>56.577516499099964</v>
      </c>
      <c r="AH19" s="538">
        <f t="shared" si="35"/>
        <v>5240.9975860046816</v>
      </c>
      <c r="AI19" s="549" t="str">
        <f t="shared" si="36"/>
        <v>normal</v>
      </c>
      <c r="AJ19" s="537" t="str">
        <f t="shared" si="37"/>
        <v>Nov</v>
      </c>
      <c r="AK19" s="447">
        <f t="shared" si="38"/>
        <v>2019</v>
      </c>
      <c r="AL19" s="447">
        <f t="shared" si="46"/>
        <v>9</v>
      </c>
      <c r="AM19" s="496">
        <f>IF(OR(التوصية!$B$248='بيانات للادخال'!$F$2,التوصية!$B$248='بيانات للادخال'!$F$3),AN19*(1+PNAVAT),IF(التوصية!$B$248='بيانات للادخال'!$F$4,(AN19-AQ19)+AQ19*(1+PNAVAT)))</f>
        <v>199.36258585858587</v>
      </c>
      <c r="AN19" s="496">
        <f t="shared" si="39"/>
        <v>171.86429815395334</v>
      </c>
      <c r="AO19" s="9">
        <f t="shared" si="40"/>
        <v>0</v>
      </c>
      <c r="AP19" s="9">
        <f t="shared" si="41"/>
        <v>171.86429815395334</v>
      </c>
      <c r="AQ19" s="9">
        <f t="shared" si="44"/>
        <v>58.974973237634053</v>
      </c>
      <c r="AR19" s="550">
        <f t="shared" si="45"/>
        <v>5470.3661232245313</v>
      </c>
      <c r="AS19" s="501" t="str">
        <f t="shared" si="0"/>
        <v>Jun</v>
      </c>
      <c r="AT19" s="495" t="str">
        <f t="shared" si="47"/>
        <v>normal</v>
      </c>
      <c r="AU19" s="539" t="str">
        <f t="shared" si="11"/>
        <v>Jan</v>
      </c>
      <c r="AV19" s="447">
        <f t="shared" si="12"/>
        <v>2020</v>
      </c>
      <c r="AW19" s="447" t="str">
        <f t="shared" si="22"/>
        <v>Jan 2020</v>
      </c>
      <c r="AX19" s="448">
        <f t="shared" si="42"/>
        <v>11</v>
      </c>
      <c r="AY19" s="496">
        <f>IF(OR(التوصية!$B$248='بيانات للادخال'!$F$2,التوصية!$B$248='بيانات للادخال'!$F$3),AZ19*(1+PNAVAT),IF(التوصية!$B$248='بيانات للادخال'!$F$4,(AZ19-BC19)+BC19*(1+PNAVAT)))</f>
        <v>0</v>
      </c>
      <c r="AZ19" s="496">
        <f t="shared" si="13"/>
        <v>0</v>
      </c>
      <c r="BA19" s="9">
        <f t="shared" si="14"/>
        <v>0</v>
      </c>
      <c r="BB19" s="9">
        <f t="shared" si="15"/>
        <v>0</v>
      </c>
      <c r="BC19" s="9">
        <f t="shared" si="23"/>
        <v>55.518774614915465</v>
      </c>
      <c r="BD19" s="9">
        <f t="shared" si="43"/>
        <v>-55.518774614915465</v>
      </c>
      <c r="BE19" s="9">
        <f t="shared" si="24"/>
        <v>5080.9195714365478</v>
      </c>
      <c r="BF19" s="531">
        <f>IF($E$1='بيانات للادخال'!$M$2,IF(AND(OR(AX19=11+$Z$3,AX19=12+$Z$3,AX19=23+$Z$3,AX19=24+$Z$3,AX19=35+$Z$3,AX19=36+$Z$3,AX19=47+$Z$3,AX19=48+$Z$3,AX19=59+$Z$3,AX19=60+$Z$3),AX19&lt;=$G$3),$E$61/2,AY19),IF($E$1='بيانات للادخال'!$M$3,AC19))</f>
        <v>199.36258585858587</v>
      </c>
      <c r="BG19" s="547" t="str">
        <f t="shared" si="25"/>
        <v>Jan 2020</v>
      </c>
      <c r="BH19" s="541">
        <f t="shared" si="26"/>
        <v>0</v>
      </c>
      <c r="BI19" s="548">
        <f t="shared" si="27"/>
        <v>0</v>
      </c>
    </row>
    <row r="20" spans="1:61">
      <c r="A20" s="471" t="s">
        <v>277</v>
      </c>
      <c r="B20" s="554"/>
      <c r="D20" s="543" t="s">
        <v>349</v>
      </c>
      <c r="E20" s="544" t="s">
        <v>350</v>
      </c>
      <c r="G20" s="536">
        <f t="shared" si="28"/>
        <v>2020</v>
      </c>
      <c r="H20" s="537" t="str">
        <f t="shared" si="16"/>
        <v>Feb</v>
      </c>
      <c r="I20" s="447">
        <f t="shared" si="29"/>
        <v>12</v>
      </c>
      <c r="J20" s="496">
        <f>IF(OR(التوصية!$B$248='بيانات للادخال'!$F$2,التوصية!$B$248='بيانات للادخال'!$F$3),K20*(1+PNAVAT),IF(التوصية!$B$248='بيانات للادخال'!$F$4,(K20-N20)+N20*(1+PNAVAT)))</f>
        <v>199.36258585858587</v>
      </c>
      <c r="K20" s="496">
        <f t="shared" si="17"/>
        <v>171.86429815395334</v>
      </c>
      <c r="L20" s="9">
        <f t="shared" si="1"/>
        <v>0</v>
      </c>
      <c r="M20" s="9">
        <f t="shared" si="2"/>
        <v>171.86429815395334</v>
      </c>
      <c r="N20" s="9">
        <f t="shared" si="18"/>
        <v>55.359761924569085</v>
      </c>
      <c r="O20" s="538">
        <f t="shared" si="30"/>
        <v>5124.4930497752975</v>
      </c>
      <c r="P20" s="539" t="str">
        <f t="shared" si="3"/>
        <v>Feb</v>
      </c>
      <c r="Q20" s="447">
        <f t="shared" si="4"/>
        <v>2020</v>
      </c>
      <c r="R20" s="447">
        <f t="shared" si="31"/>
        <v>12</v>
      </c>
      <c r="S20" s="496">
        <f>IF(OR(التوصية!$B$248='بيانات للادخال'!$F$2,التوصية!$B$248='بيانات للادخال'!$F$3),T20*(1+PNAVAT),IF(التوصية!$B$248='بيانات للادخال'!$F$4,(T20-W20)+W20*(1+PNAVAT)))</f>
        <v>199.36258585858587</v>
      </c>
      <c r="T20" s="9">
        <f t="shared" si="19"/>
        <v>171.86429815395334</v>
      </c>
      <c r="U20" s="9">
        <f t="shared" si="5"/>
        <v>0</v>
      </c>
      <c r="V20" s="9">
        <f t="shared" si="6"/>
        <v>171.86429815395334</v>
      </c>
      <c r="W20" s="9">
        <f t="shared" si="20"/>
        <v>55.359761924569085</v>
      </c>
      <c r="X20" s="9">
        <f t="shared" si="32"/>
        <v>5124.4930497752975</v>
      </c>
      <c r="Y20" s="538">
        <f t="shared" si="33"/>
        <v>116.50453622938426</v>
      </c>
      <c r="Z20" s="494">
        <f t="shared" si="7"/>
        <v>2020</v>
      </c>
      <c r="AA20" s="537" t="str">
        <f t="shared" si="7"/>
        <v>Feb</v>
      </c>
      <c r="AB20" s="447">
        <f t="shared" si="34"/>
        <v>12</v>
      </c>
      <c r="AC20" s="496">
        <f>IF(OR(التوصية!$B$248='بيانات للادخال'!$F$2,التوصية!$B$248='بيانات للادخال'!$F$3),AD20*(1+PNAVAT),IF(التوصية!$B$248='بيانات للادخال'!$F$4,(AD20-AG20)+AG20*(1+PNAVAT)))</f>
        <v>199.36258585858587</v>
      </c>
      <c r="AD20" s="496">
        <f t="shared" si="8"/>
        <v>171.86429815395334</v>
      </c>
      <c r="AE20" s="9">
        <f t="shared" si="9"/>
        <v>0</v>
      </c>
      <c r="AF20" s="9">
        <f t="shared" si="10"/>
        <v>171.86429815395334</v>
      </c>
      <c r="AG20" s="9">
        <f t="shared" si="21"/>
        <v>55.359761924569085</v>
      </c>
      <c r="AH20" s="538">
        <f t="shared" si="35"/>
        <v>5124.4930497752975</v>
      </c>
      <c r="AI20" s="549" t="str">
        <f t="shared" si="36"/>
        <v>normal</v>
      </c>
      <c r="AJ20" s="537" t="str">
        <f t="shared" si="37"/>
        <v>Dec</v>
      </c>
      <c r="AK20" s="447">
        <f t="shared" si="38"/>
        <v>2019</v>
      </c>
      <c r="AL20" s="447">
        <f t="shared" si="46"/>
        <v>10</v>
      </c>
      <c r="AM20" s="496">
        <f>IF(OR(التوصية!$B$248='بيانات للادخال'!$F$2,التوصية!$B$248='بيانات للادخال'!$F$3),AN20*(1+PNAVAT),IF(التوصية!$B$248='بيانات للادخال'!$F$4,(AN20-AQ20)+AQ20*(1+PNAVAT)))</f>
        <v>199.36258585858587</v>
      </c>
      <c r="AN20" s="496">
        <f t="shared" si="39"/>
        <v>171.86429815395334</v>
      </c>
      <c r="AO20" s="9">
        <f t="shared" si="40"/>
        <v>0</v>
      </c>
      <c r="AP20" s="9">
        <f t="shared" si="41"/>
        <v>171.86429815395334</v>
      </c>
      <c r="AQ20" s="9">
        <f t="shared" si="44"/>
        <v>57.78254258895732</v>
      </c>
      <c r="AR20" s="550">
        <f t="shared" si="45"/>
        <v>5356.2843676595348</v>
      </c>
      <c r="AS20" s="501" t="str">
        <f t="shared" si="0"/>
        <v>Jul</v>
      </c>
      <c r="AT20" s="495" t="str">
        <f t="shared" si="47"/>
        <v>normal</v>
      </c>
      <c r="AU20" s="539" t="str">
        <f t="shared" si="11"/>
        <v>Feb</v>
      </c>
      <c r="AV20" s="447">
        <f t="shared" si="12"/>
        <v>2020</v>
      </c>
      <c r="AW20" s="447" t="str">
        <f t="shared" si="22"/>
        <v>Feb 2020</v>
      </c>
      <c r="AX20" s="448">
        <f t="shared" si="42"/>
        <v>12</v>
      </c>
      <c r="AY20" s="496">
        <f>IF(OR(التوصية!$B$248='بيانات للادخال'!$F$2,التوصية!$B$248='بيانات للادخال'!$F$3),AZ20*(1+PNAVAT),IF(التوصية!$B$248='بيانات للادخال'!$F$4,(AZ20-BC20)+BC20*(1+PNAVAT)))</f>
        <v>0</v>
      </c>
      <c r="AZ20" s="496">
        <f t="shared" si="13"/>
        <v>0</v>
      </c>
      <c r="BA20" s="9">
        <f t="shared" si="14"/>
        <v>0</v>
      </c>
      <c r="BB20" s="9">
        <f t="shared" si="15"/>
        <v>0</v>
      </c>
      <c r="BC20" s="9">
        <f t="shared" si="23"/>
        <v>56.132125561309884</v>
      </c>
      <c r="BD20" s="9">
        <f t="shared" si="43"/>
        <v>-56.132125561309884</v>
      </c>
      <c r="BE20" s="9">
        <f t="shared" si="24"/>
        <v>5137.051696997858</v>
      </c>
      <c r="BF20" s="531">
        <f>IF($E$1='بيانات للادخال'!$M$2,IF(AND(OR(AX20=11+$Z$3,AX20=12+$Z$3,AX20=23+$Z$3,AX20=24+$Z$3,AX20=35+$Z$3,AX20=36+$Z$3,AX20=47+$Z$3,AX20=48+$Z$3,AX20=59+$Z$3,AX20=60+$Z$3),AX20&lt;=$G$3),$E$61/2,AY20),IF($E$1='بيانات للادخال'!$M$3,AC20))</f>
        <v>199.36258585858587</v>
      </c>
      <c r="BG20" s="547" t="str">
        <f t="shared" si="25"/>
        <v>Feb 2020</v>
      </c>
      <c r="BH20" s="541">
        <f t="shared" si="26"/>
        <v>0</v>
      </c>
      <c r="BI20" s="548">
        <f t="shared" si="27"/>
        <v>0</v>
      </c>
    </row>
    <row r="21" spans="1:61">
      <c r="A21" s="471" t="s">
        <v>278</v>
      </c>
      <c r="B21" s="554"/>
      <c r="D21" s="543" t="s">
        <v>351</v>
      </c>
      <c r="E21" s="551">
        <f>IF(E15="",0,IF(E15&lt;1001,935/E16+(E17*(1+PNAVAT)*0.0175),IF(E15&lt;1501,1035/E16+(E17*(1+PNAVAT)*0.0175),IF(E15&lt;2001,1340/E16+(E17*(1+PNAVAT)*0.0175),IF(E15&lt;10000,1690/E16+(E17*(1+PNAVAT)*0.0175)," ")))))</f>
        <v>0</v>
      </c>
      <c r="G21" s="536">
        <f t="shared" si="28"/>
        <v>2020</v>
      </c>
      <c r="H21" s="537" t="str">
        <f t="shared" si="16"/>
        <v>Mar</v>
      </c>
      <c r="I21" s="447">
        <f t="shared" si="29"/>
        <v>13</v>
      </c>
      <c r="J21" s="496">
        <f>IF(OR(التوصية!$B$248='بيانات للادخال'!$F$2,التوصية!$B$248='بيانات للادخال'!$F$3),K21*(1+PNAVAT),IF(التوصية!$B$248='بيانات للادخال'!$F$4,(K21-N21)+N21*(1+PNAVAT)))</f>
        <v>199.36258585858587</v>
      </c>
      <c r="K21" s="496">
        <f t="shared" si="17"/>
        <v>171.86429815395334</v>
      </c>
      <c r="L21" s="9">
        <f t="shared" si="1"/>
        <v>0</v>
      </c>
      <c r="M21" s="9">
        <f t="shared" si="2"/>
        <v>171.86429815395334</v>
      </c>
      <c r="N21" s="9">
        <f t="shared" si="18"/>
        <v>54.129144416556123</v>
      </c>
      <c r="O21" s="538">
        <f t="shared" si="30"/>
        <v>5006.7578960379005</v>
      </c>
      <c r="P21" s="539" t="str">
        <f t="shared" si="3"/>
        <v>Mar</v>
      </c>
      <c r="Q21" s="447">
        <f t="shared" si="4"/>
        <v>2020</v>
      </c>
      <c r="R21" s="447">
        <f t="shared" si="31"/>
        <v>13</v>
      </c>
      <c r="S21" s="496">
        <f>IF(OR(التوصية!$B$248='بيانات للادخال'!$F$2,التوصية!$B$248='بيانات للادخال'!$F$3),T21*(1+PNAVAT),IF(التوصية!$B$248='بيانات للادخال'!$F$4,(T21-W21)+W21*(1+PNAVAT)))</f>
        <v>199.36258585858587</v>
      </c>
      <c r="T21" s="9">
        <f t="shared" si="19"/>
        <v>171.86429815395334</v>
      </c>
      <c r="U21" s="9">
        <f t="shared" si="5"/>
        <v>0</v>
      </c>
      <c r="V21" s="9">
        <f t="shared" si="6"/>
        <v>171.86429815395334</v>
      </c>
      <c r="W21" s="9">
        <f t="shared" si="20"/>
        <v>54.129144416556123</v>
      </c>
      <c r="X21" s="9">
        <f t="shared" si="32"/>
        <v>5006.7578960379005</v>
      </c>
      <c r="Y21" s="538">
        <f t="shared" si="33"/>
        <v>117.73515373739721</v>
      </c>
      <c r="Z21" s="494">
        <f t="shared" si="7"/>
        <v>2020</v>
      </c>
      <c r="AA21" s="537" t="str">
        <f t="shared" si="7"/>
        <v>Mar</v>
      </c>
      <c r="AB21" s="447">
        <f t="shared" si="34"/>
        <v>13</v>
      </c>
      <c r="AC21" s="496">
        <f>IF(OR(التوصية!$B$248='بيانات للادخال'!$F$2,التوصية!$B$248='بيانات للادخال'!$F$3),AD21*(1+PNAVAT),IF(التوصية!$B$248='بيانات للادخال'!$F$4,(AD21-AG21)+AG21*(1+PNAVAT)))</f>
        <v>199.36258585858587</v>
      </c>
      <c r="AD21" s="496">
        <f t="shared" si="8"/>
        <v>171.86429815395334</v>
      </c>
      <c r="AE21" s="9">
        <f t="shared" si="9"/>
        <v>0</v>
      </c>
      <c r="AF21" s="9">
        <f t="shared" si="10"/>
        <v>171.86429815395334</v>
      </c>
      <c r="AG21" s="9">
        <f t="shared" si="21"/>
        <v>54.129144416556123</v>
      </c>
      <c r="AH21" s="538">
        <f t="shared" si="35"/>
        <v>5006.7578960379005</v>
      </c>
      <c r="AI21" s="549" t="str">
        <f t="shared" si="36"/>
        <v>normal</v>
      </c>
      <c r="AJ21" s="537" t="str">
        <f t="shared" si="37"/>
        <v>Jan</v>
      </c>
      <c r="AK21" s="447">
        <f t="shared" si="38"/>
        <v>2020</v>
      </c>
      <c r="AL21" s="447">
        <f t="shared" si="46"/>
        <v>11</v>
      </c>
      <c r="AM21" s="496">
        <f>IF(OR(التوصية!$B$248='بيانات للادخال'!$F$2,التوصية!$B$248='بيانات للادخال'!$F$3),AN21*(1+PNAVAT),IF(التوصية!$B$248='بيانات للادخال'!$F$4,(AN21-AQ21)+AQ21*(1+PNAVAT)))</f>
        <v>199.36258585858587</v>
      </c>
      <c r="AN21" s="496">
        <f t="shared" si="39"/>
        <v>171.86429815395334</v>
      </c>
      <c r="AO21" s="9">
        <f t="shared" si="40"/>
        <v>0</v>
      </c>
      <c r="AP21" s="9">
        <f t="shared" si="41"/>
        <v>171.86429815395334</v>
      </c>
      <c r="AQ21" s="9">
        <f t="shared" si="44"/>
        <v>56.577516499099964</v>
      </c>
      <c r="AR21" s="550">
        <f t="shared" si="45"/>
        <v>5240.9975860046816</v>
      </c>
      <c r="AS21" s="501" t="str">
        <f t="shared" si="0"/>
        <v>Aug</v>
      </c>
      <c r="AT21" s="495" t="str">
        <f t="shared" si="47"/>
        <v>normal</v>
      </c>
      <c r="AU21" s="539" t="str">
        <f t="shared" si="11"/>
        <v>Mar</v>
      </c>
      <c r="AV21" s="447">
        <f t="shared" si="12"/>
        <v>2020</v>
      </c>
      <c r="AW21" s="447" t="str">
        <f t="shared" si="22"/>
        <v>Mar 2020</v>
      </c>
      <c r="AX21" s="448">
        <f t="shared" si="42"/>
        <v>13</v>
      </c>
      <c r="AY21" s="496">
        <f>IF(OR(التوصية!$B$248='بيانات للادخال'!$F$2,التوصية!$B$248='بيانات للادخال'!$F$3),AZ21*(1+PNAVAT),IF(التوصية!$B$248='بيانات للادخال'!$F$4,(AZ21-BC21)+BC21*(1+PNAVAT)))</f>
        <v>239.23510303030307</v>
      </c>
      <c r="AZ21" s="496">
        <f t="shared" si="13"/>
        <v>206.23715778474403</v>
      </c>
      <c r="BA21" s="9">
        <f t="shared" si="14"/>
        <v>0</v>
      </c>
      <c r="BB21" s="9">
        <f t="shared" si="15"/>
        <v>206.23715778474403</v>
      </c>
      <c r="BC21" s="9">
        <f t="shared" si="23"/>
        <v>56.752252582753727</v>
      </c>
      <c r="BD21" s="9">
        <f t="shared" si="43"/>
        <v>149.4849052019903</v>
      </c>
      <c r="BE21" s="9">
        <f t="shared" si="24"/>
        <v>4987.5667917958681</v>
      </c>
      <c r="BF21" s="531">
        <f>IF($E$1='بيانات للادخال'!$M$2,IF(AND(OR(AX21=11+$Z$3,AX21=12+$Z$3,AX21=23+$Z$3,AX21=24+$Z$3,AX21=35+$Z$3,AX21=36+$Z$3,AX21=47+$Z$3,AX21=48+$Z$3,AX21=59+$Z$3,AX21=60+$Z$3),AX21&lt;=$G$3),$E$61/2,AY21),IF($E$1='بيانات للادخال'!$M$3,AC21))</f>
        <v>199.36258585858587</v>
      </c>
      <c r="BG21" s="547" t="str">
        <f t="shared" si="25"/>
        <v>Mar 2020</v>
      </c>
      <c r="BH21" s="541">
        <f t="shared" si="26"/>
        <v>239.23510303030307</v>
      </c>
      <c r="BI21" s="548">
        <f t="shared" si="27"/>
        <v>206.23715778474403</v>
      </c>
    </row>
    <row r="22" spans="1:61">
      <c r="A22" s="471" t="s">
        <v>279</v>
      </c>
      <c r="B22" s="554"/>
      <c r="G22" s="536">
        <f t="shared" si="28"/>
        <v>2020</v>
      </c>
      <c r="H22" s="537" t="str">
        <f t="shared" si="16"/>
        <v>Apr</v>
      </c>
      <c r="I22" s="447">
        <f t="shared" si="29"/>
        <v>14</v>
      </c>
      <c r="J22" s="496">
        <f>IF(OR(التوصية!$B$248='بيانات للادخال'!$F$2,التوصية!$B$248='بيانات للادخال'!$F$3),K22*(1+PNAVAT),IF(التوصية!$B$248='بيانات للادخال'!$F$4,(K22-N22)+N22*(1+PNAVAT)))</f>
        <v>199.36258585858587</v>
      </c>
      <c r="K22" s="496">
        <f t="shared" si="17"/>
        <v>171.86429815395334</v>
      </c>
      <c r="L22" s="9">
        <f t="shared" si="1"/>
        <v>0</v>
      </c>
      <c r="M22" s="9">
        <f t="shared" si="2"/>
        <v>171.86429815395334</v>
      </c>
      <c r="N22" s="9">
        <f t="shared" si="18"/>
        <v>52.8855281060927</v>
      </c>
      <c r="O22" s="538">
        <f t="shared" si="30"/>
        <v>4887.7791259900396</v>
      </c>
      <c r="P22" s="539" t="str">
        <f t="shared" si="3"/>
        <v>Apr</v>
      </c>
      <c r="Q22" s="447">
        <f t="shared" si="4"/>
        <v>2020</v>
      </c>
      <c r="R22" s="447">
        <f t="shared" si="31"/>
        <v>14</v>
      </c>
      <c r="S22" s="496">
        <f>IF(OR(التوصية!$B$248='بيانات للادخال'!$F$2,التوصية!$B$248='بيانات للادخال'!$F$3),T22*(1+PNAVAT),IF(التوصية!$B$248='بيانات للادخال'!$F$4,(T22-W22)+W22*(1+PNAVAT)))</f>
        <v>199.36258585858587</v>
      </c>
      <c r="T22" s="9">
        <f t="shared" si="19"/>
        <v>171.86429815395334</v>
      </c>
      <c r="U22" s="9">
        <f t="shared" si="5"/>
        <v>0</v>
      </c>
      <c r="V22" s="9">
        <f t="shared" si="6"/>
        <v>171.86429815395334</v>
      </c>
      <c r="W22" s="9">
        <f t="shared" si="20"/>
        <v>52.8855281060927</v>
      </c>
      <c r="X22" s="9">
        <f t="shared" si="32"/>
        <v>4887.7791259900396</v>
      </c>
      <c r="Y22" s="538">
        <f t="shared" si="33"/>
        <v>118.97877004786065</v>
      </c>
      <c r="Z22" s="494">
        <f t="shared" si="7"/>
        <v>2020</v>
      </c>
      <c r="AA22" s="537" t="str">
        <f t="shared" si="7"/>
        <v>Apr</v>
      </c>
      <c r="AB22" s="447">
        <f t="shared" si="34"/>
        <v>14</v>
      </c>
      <c r="AC22" s="496">
        <f>IF(OR(التوصية!$B$248='بيانات للادخال'!$F$2,التوصية!$B$248='بيانات للادخال'!$F$3),AD22*(1+PNAVAT),IF(التوصية!$B$248='بيانات للادخال'!$F$4,(AD22-AG22)+AG22*(1+PNAVAT)))</f>
        <v>199.36258585858587</v>
      </c>
      <c r="AD22" s="496">
        <f t="shared" si="8"/>
        <v>171.86429815395334</v>
      </c>
      <c r="AE22" s="9">
        <f t="shared" si="9"/>
        <v>0</v>
      </c>
      <c r="AF22" s="9">
        <f t="shared" si="10"/>
        <v>171.86429815395334</v>
      </c>
      <c r="AG22" s="9">
        <f t="shared" si="21"/>
        <v>52.8855281060927</v>
      </c>
      <c r="AH22" s="538">
        <f t="shared" si="35"/>
        <v>4887.7791259900396</v>
      </c>
      <c r="AI22" s="549" t="str">
        <f t="shared" si="36"/>
        <v>normal</v>
      </c>
      <c r="AJ22" s="537" t="str">
        <f t="shared" si="37"/>
        <v>Feb</v>
      </c>
      <c r="AK22" s="447">
        <f t="shared" si="38"/>
        <v>2020</v>
      </c>
      <c r="AL22" s="447">
        <f t="shared" si="46"/>
        <v>12</v>
      </c>
      <c r="AM22" s="496">
        <f>IF(OR(التوصية!$B$248='بيانات للادخال'!$F$2,التوصية!$B$248='بيانات للادخال'!$F$3),AN22*(1+PNAVAT),IF(التوصية!$B$248='بيانات للادخال'!$F$4,(AN22-AQ22)+AQ22*(1+PNAVAT)))</f>
        <v>199.36258585858587</v>
      </c>
      <c r="AN22" s="496">
        <f t="shared" si="39"/>
        <v>171.86429815395334</v>
      </c>
      <c r="AO22" s="9">
        <f t="shared" si="40"/>
        <v>0</v>
      </c>
      <c r="AP22" s="9">
        <f t="shared" si="41"/>
        <v>171.86429815395334</v>
      </c>
      <c r="AQ22" s="9">
        <f t="shared" si="44"/>
        <v>55.359761924569085</v>
      </c>
      <c r="AR22" s="550">
        <f t="shared" si="45"/>
        <v>5124.4930497752975</v>
      </c>
      <c r="AS22" s="501" t="str">
        <f t="shared" si="0"/>
        <v>Sep</v>
      </c>
      <c r="AT22" s="495" t="str">
        <f t="shared" si="47"/>
        <v>normal</v>
      </c>
      <c r="AU22" s="539" t="str">
        <f t="shared" si="11"/>
        <v>Apr</v>
      </c>
      <c r="AV22" s="447">
        <f t="shared" si="12"/>
        <v>2020</v>
      </c>
      <c r="AW22" s="447" t="str">
        <f t="shared" si="22"/>
        <v>Apr 2020</v>
      </c>
      <c r="AX22" s="448">
        <f t="shared" si="42"/>
        <v>14</v>
      </c>
      <c r="AY22" s="496">
        <f>IF(OR(التوصية!$B$248='بيانات للادخال'!$F$2,التوصية!$B$248='بيانات للادخال'!$F$3),AZ22*(1+PNAVAT),IF(التوصية!$B$248='بيانات للادخال'!$F$4,(AZ22-BC22)+BC22*(1+PNAVAT)))</f>
        <v>239.23510303030307</v>
      </c>
      <c r="AZ22" s="496">
        <f t="shared" si="13"/>
        <v>206.23715778474403</v>
      </c>
      <c r="BA22" s="9">
        <f t="shared" si="14"/>
        <v>0</v>
      </c>
      <c r="BB22" s="9">
        <f t="shared" si="15"/>
        <v>206.23715778474403</v>
      </c>
      <c r="BC22" s="9">
        <f t="shared" si="23"/>
        <v>55.100798480726638</v>
      </c>
      <c r="BD22" s="9">
        <f t="shared" si="43"/>
        <v>151.13635930401739</v>
      </c>
      <c r="BE22" s="9">
        <f t="shared" si="24"/>
        <v>4836.4304324918503</v>
      </c>
      <c r="BF22" s="531">
        <f>IF($E$1='بيانات للادخال'!$M$2,IF(AND(OR(AX22=11+$Z$3,AX22=12+$Z$3,AX22=23+$Z$3,AX22=24+$Z$3,AX22=35+$Z$3,AX22=36+$Z$3,AX22=47+$Z$3,AX22=48+$Z$3,AX22=59+$Z$3,AX22=60+$Z$3),AX22&lt;=$G$3),$E$61/2,AY22),IF($E$1='بيانات للادخال'!$M$3,AC22))</f>
        <v>199.36258585858587</v>
      </c>
      <c r="BG22" s="547" t="str">
        <f t="shared" si="25"/>
        <v>Apr 2020</v>
      </c>
      <c r="BH22" s="541">
        <f t="shared" si="26"/>
        <v>239.23510303030307</v>
      </c>
      <c r="BI22" s="548">
        <f t="shared" si="27"/>
        <v>206.23715778474403</v>
      </c>
    </row>
    <row r="23" spans="1:61">
      <c r="A23" s="471" t="s">
        <v>280</v>
      </c>
      <c r="B23" s="554"/>
      <c r="D23" s="1405">
        <f>الأصل!A6</f>
        <v>0</v>
      </c>
      <c r="E23" s="1406"/>
      <c r="G23" s="536">
        <f t="shared" si="28"/>
        <v>2020</v>
      </c>
      <c r="H23" s="537" t="str">
        <f t="shared" si="16"/>
        <v>May</v>
      </c>
      <c r="I23" s="447">
        <f t="shared" si="29"/>
        <v>15</v>
      </c>
      <c r="J23" s="496">
        <f>IF(OR(التوصية!$B$248='بيانات للادخال'!$F$2,التوصية!$B$248='بيانات للادخال'!$F$3),K23*(1+PNAVAT),IF(التوصية!$B$248='بيانات للادخال'!$F$4,(K23-N23)+N23*(1+PNAVAT)))</f>
        <v>199.36258585858587</v>
      </c>
      <c r="K23" s="496">
        <f t="shared" si="17"/>
        <v>171.86429815395334</v>
      </c>
      <c r="L23" s="9">
        <f t="shared" si="1"/>
        <v>0</v>
      </c>
      <c r="M23" s="9">
        <f t="shared" si="2"/>
        <v>171.86429815395334</v>
      </c>
      <c r="N23" s="9">
        <f t="shared" si="18"/>
        <v>51.628775689049753</v>
      </c>
      <c r="O23" s="538">
        <f t="shared" si="30"/>
        <v>4767.5436035251359</v>
      </c>
      <c r="P23" s="539" t="str">
        <f t="shared" si="3"/>
        <v>May</v>
      </c>
      <c r="Q23" s="447">
        <f t="shared" si="4"/>
        <v>2020</v>
      </c>
      <c r="R23" s="447">
        <f t="shared" si="31"/>
        <v>15</v>
      </c>
      <c r="S23" s="496">
        <f>IF(OR(التوصية!$B$248='بيانات للادخال'!$F$2,التوصية!$B$248='بيانات للادخال'!$F$3),T23*(1+PNAVAT),IF(التوصية!$B$248='بيانات للادخال'!$F$4,(T23-W23)+W23*(1+PNAVAT)))</f>
        <v>199.36258585858587</v>
      </c>
      <c r="T23" s="9">
        <f t="shared" si="19"/>
        <v>171.86429815395334</v>
      </c>
      <c r="U23" s="9">
        <f t="shared" si="5"/>
        <v>0</v>
      </c>
      <c r="V23" s="9">
        <f t="shared" si="6"/>
        <v>171.86429815395334</v>
      </c>
      <c r="W23" s="9">
        <f t="shared" si="20"/>
        <v>51.628775689049753</v>
      </c>
      <c r="X23" s="9">
        <f t="shared" si="32"/>
        <v>4767.5436035251359</v>
      </c>
      <c r="Y23" s="538">
        <f t="shared" si="33"/>
        <v>120.2355224649036</v>
      </c>
      <c r="Z23" s="494">
        <f t="shared" si="7"/>
        <v>2020</v>
      </c>
      <c r="AA23" s="537" t="str">
        <f t="shared" si="7"/>
        <v>May</v>
      </c>
      <c r="AB23" s="447">
        <f t="shared" si="34"/>
        <v>15</v>
      </c>
      <c r="AC23" s="496">
        <f>IF(OR(التوصية!$B$248='بيانات للادخال'!$F$2,التوصية!$B$248='بيانات للادخال'!$F$3),AD23*(1+PNAVAT),IF(التوصية!$B$248='بيانات للادخال'!$F$4,(AD23-AG23)+AG23*(1+PNAVAT)))</f>
        <v>199.36258585858587</v>
      </c>
      <c r="AD23" s="496">
        <f t="shared" si="8"/>
        <v>171.86429815395334</v>
      </c>
      <c r="AE23" s="9">
        <f t="shared" si="9"/>
        <v>0</v>
      </c>
      <c r="AF23" s="9">
        <f t="shared" si="10"/>
        <v>171.86429815395334</v>
      </c>
      <c r="AG23" s="9">
        <f t="shared" si="21"/>
        <v>51.628775689049753</v>
      </c>
      <c r="AH23" s="538">
        <f t="shared" si="35"/>
        <v>4767.5436035251359</v>
      </c>
      <c r="AI23" s="549" t="str">
        <f t="shared" si="36"/>
        <v>normal</v>
      </c>
      <c r="AJ23" s="537" t="str">
        <f t="shared" si="37"/>
        <v>Mar</v>
      </c>
      <c r="AK23" s="447">
        <f t="shared" si="38"/>
        <v>2020</v>
      </c>
      <c r="AL23" s="447">
        <f t="shared" si="46"/>
        <v>13</v>
      </c>
      <c r="AM23" s="496">
        <f>IF(OR(التوصية!$B$248='بيانات للادخال'!$F$2,التوصية!$B$248='بيانات للادخال'!$F$3),AN23*(1+PNAVAT),IF(التوصية!$B$248='بيانات للادخال'!$F$4,(AN23-AQ23)+AQ23*(1+PNAVAT)))</f>
        <v>199.36258585858587</v>
      </c>
      <c r="AN23" s="496">
        <f t="shared" si="39"/>
        <v>171.86429815395334</v>
      </c>
      <c r="AO23" s="9">
        <f t="shared" si="40"/>
        <v>0</v>
      </c>
      <c r="AP23" s="9">
        <f t="shared" si="41"/>
        <v>171.86429815395334</v>
      </c>
      <c r="AQ23" s="9">
        <f t="shared" si="44"/>
        <v>54.129144416556123</v>
      </c>
      <c r="AR23" s="550">
        <f t="shared" si="45"/>
        <v>5006.7578960379005</v>
      </c>
      <c r="AS23" s="501" t="str">
        <f t="shared" si="0"/>
        <v>Oct</v>
      </c>
      <c r="AT23" s="495" t="str">
        <f t="shared" si="47"/>
        <v>normal</v>
      </c>
      <c r="AU23" s="539" t="str">
        <f t="shared" si="11"/>
        <v>May</v>
      </c>
      <c r="AV23" s="447">
        <f t="shared" si="12"/>
        <v>2020</v>
      </c>
      <c r="AW23" s="447" t="str">
        <f t="shared" si="22"/>
        <v>May 2020</v>
      </c>
      <c r="AX23" s="448">
        <f t="shared" si="42"/>
        <v>15</v>
      </c>
      <c r="AY23" s="496">
        <f>IF(OR(التوصية!$B$248='بيانات للادخال'!$F$2,التوصية!$B$248='بيانات للادخال'!$F$3),AZ23*(1+PNAVAT),IF(التوصية!$B$248='بيانات للادخال'!$F$4,(AZ23-BC23)+BC23*(1+PNAVAT)))</f>
        <v>239.23510303030307</v>
      </c>
      <c r="AZ23" s="496">
        <f t="shared" si="13"/>
        <v>206.23715778474403</v>
      </c>
      <c r="BA23" s="9">
        <f t="shared" si="14"/>
        <v>0</v>
      </c>
      <c r="BB23" s="9">
        <f t="shared" si="15"/>
        <v>206.23715778474403</v>
      </c>
      <c r="BC23" s="9">
        <f t="shared" si="23"/>
        <v>53.431099722843378</v>
      </c>
      <c r="BD23" s="9">
        <f t="shared" si="43"/>
        <v>152.80605806190064</v>
      </c>
      <c r="BE23" s="9">
        <f t="shared" si="24"/>
        <v>4683.62437442995</v>
      </c>
      <c r="BF23" s="531">
        <f>IF($E$1='بيانات للادخال'!$M$2,IF(AND(OR(AX23=11+$Z$3,AX23=12+$Z$3,AX23=23+$Z$3,AX23=24+$Z$3,AX23=35+$Z$3,AX23=36+$Z$3,AX23=47+$Z$3,AX23=48+$Z$3,AX23=59+$Z$3,AX23=60+$Z$3),AX23&lt;=$G$3),$E$61/2,AY23),IF($E$1='بيانات للادخال'!$M$3,AC23))</f>
        <v>199.36258585858587</v>
      </c>
      <c r="BG23" s="547" t="str">
        <f t="shared" si="25"/>
        <v>May 2020</v>
      </c>
      <c r="BH23" s="541">
        <f t="shared" si="26"/>
        <v>239.23510303030307</v>
      </c>
      <c r="BI23" s="548">
        <f t="shared" si="27"/>
        <v>206.23715778474403</v>
      </c>
    </row>
    <row r="24" spans="1:61">
      <c r="A24" s="471" t="s">
        <v>281</v>
      </c>
      <c r="B24" s="554"/>
      <c r="D24" s="1403" t="s">
        <v>308</v>
      </c>
      <c r="E24" s="1404"/>
      <c r="G24" s="536">
        <f t="shared" si="28"/>
        <v>2020</v>
      </c>
      <c r="H24" s="537" t="str">
        <f t="shared" si="16"/>
        <v>Jun</v>
      </c>
      <c r="I24" s="447">
        <f t="shared" si="29"/>
        <v>16</v>
      </c>
      <c r="J24" s="496">
        <f>IF(OR(التوصية!$B$248='بيانات للادخال'!$F$2,التوصية!$B$248='بيانات للادخال'!$F$3),K24*(1+PNAVAT),IF(التوصية!$B$248='بيانات للادخال'!$F$4,(K24-N24)+N24*(1+PNAVAT)))</f>
        <v>199.36258585858587</v>
      </c>
      <c r="K24" s="496">
        <f t="shared" si="17"/>
        <v>171.86429815395334</v>
      </c>
      <c r="L24" s="9">
        <f t="shared" si="1"/>
        <v>0</v>
      </c>
      <c r="M24" s="9">
        <f t="shared" si="2"/>
        <v>171.86429815395334</v>
      </c>
      <c r="N24" s="9">
        <f t="shared" si="18"/>
        <v>50.358748410978173</v>
      </c>
      <c r="O24" s="538">
        <f t="shared" si="30"/>
        <v>4646.0380537821611</v>
      </c>
      <c r="P24" s="539" t="str">
        <f t="shared" si="3"/>
        <v>Jun</v>
      </c>
      <c r="Q24" s="447">
        <f t="shared" si="4"/>
        <v>2020</v>
      </c>
      <c r="R24" s="447">
        <f t="shared" si="31"/>
        <v>16</v>
      </c>
      <c r="S24" s="496">
        <f>IF(OR(التوصية!$B$248='بيانات للادخال'!$F$2,التوصية!$B$248='بيانات للادخال'!$F$3),T24*(1+PNAVAT),IF(التوصية!$B$248='بيانات للادخال'!$F$4,(T24-W24)+W24*(1+PNAVAT)))</f>
        <v>199.36258585858587</v>
      </c>
      <c r="T24" s="9">
        <f t="shared" si="19"/>
        <v>171.86429815395334</v>
      </c>
      <c r="U24" s="9">
        <f t="shared" si="5"/>
        <v>0</v>
      </c>
      <c r="V24" s="9">
        <f t="shared" si="6"/>
        <v>171.86429815395334</v>
      </c>
      <c r="W24" s="9">
        <f t="shared" si="20"/>
        <v>50.358748410978173</v>
      </c>
      <c r="X24" s="9">
        <f t="shared" si="32"/>
        <v>4646.0380537821611</v>
      </c>
      <c r="Y24" s="538">
        <f t="shared" si="33"/>
        <v>121.50554974297518</v>
      </c>
      <c r="Z24" s="494">
        <f t="shared" si="7"/>
        <v>2020</v>
      </c>
      <c r="AA24" s="537" t="str">
        <f t="shared" si="7"/>
        <v>Jun</v>
      </c>
      <c r="AB24" s="447">
        <f t="shared" si="34"/>
        <v>16</v>
      </c>
      <c r="AC24" s="496">
        <f>IF(OR(التوصية!$B$248='بيانات للادخال'!$F$2,التوصية!$B$248='بيانات للادخال'!$F$3),AD24*(1+PNAVAT),IF(التوصية!$B$248='بيانات للادخال'!$F$4,(AD24-AG24)+AG24*(1+PNAVAT)))</f>
        <v>199.36258585858587</v>
      </c>
      <c r="AD24" s="496">
        <f t="shared" si="8"/>
        <v>171.86429815395334</v>
      </c>
      <c r="AE24" s="9">
        <f t="shared" si="9"/>
        <v>0</v>
      </c>
      <c r="AF24" s="9">
        <f t="shared" si="10"/>
        <v>171.86429815395334</v>
      </c>
      <c r="AG24" s="9">
        <f t="shared" si="21"/>
        <v>50.358748410978173</v>
      </c>
      <c r="AH24" s="538">
        <f t="shared" si="35"/>
        <v>4646.0380537821611</v>
      </c>
      <c r="AI24" s="549" t="str">
        <f t="shared" si="36"/>
        <v>normal</v>
      </c>
      <c r="AJ24" s="537" t="str">
        <f t="shared" si="37"/>
        <v>Apr</v>
      </c>
      <c r="AK24" s="447">
        <f t="shared" si="38"/>
        <v>2020</v>
      </c>
      <c r="AL24" s="447">
        <f t="shared" si="46"/>
        <v>14</v>
      </c>
      <c r="AM24" s="496">
        <f>IF(OR(التوصية!$B$248='بيانات للادخال'!$F$2,التوصية!$B$248='بيانات للادخال'!$F$3),AN24*(1+PNAVAT),IF(التوصية!$B$248='بيانات للادخال'!$F$4,(AN24-AQ24)+AQ24*(1+PNAVAT)))</f>
        <v>199.36258585858587</v>
      </c>
      <c r="AN24" s="496">
        <f t="shared" si="39"/>
        <v>171.86429815395334</v>
      </c>
      <c r="AO24" s="9">
        <f t="shared" si="40"/>
        <v>0</v>
      </c>
      <c r="AP24" s="9">
        <f t="shared" si="41"/>
        <v>171.86429815395334</v>
      </c>
      <c r="AQ24" s="9">
        <f t="shared" si="44"/>
        <v>52.8855281060927</v>
      </c>
      <c r="AR24" s="550">
        <f t="shared" si="45"/>
        <v>4887.7791259900396</v>
      </c>
      <c r="AS24" s="501" t="str">
        <f t="shared" si="0"/>
        <v>Nov</v>
      </c>
      <c r="AT24" s="495" t="str">
        <f t="shared" si="47"/>
        <v>normal</v>
      </c>
      <c r="AU24" s="539" t="str">
        <f t="shared" si="11"/>
        <v>Jun</v>
      </c>
      <c r="AV24" s="447">
        <f t="shared" si="12"/>
        <v>2020</v>
      </c>
      <c r="AW24" s="447" t="str">
        <f t="shared" si="22"/>
        <v>Jun 2020</v>
      </c>
      <c r="AX24" s="448">
        <f t="shared" si="42"/>
        <v>16</v>
      </c>
      <c r="AY24" s="496">
        <f>IF(OR(التوصية!$B$248='بيانات للادخال'!$F$2,التوصية!$B$248='بيانات للادخال'!$F$3),AZ24*(1+PNAVAT),IF(التوصية!$B$248='بيانات للادخال'!$F$4,(AZ24-BC24)+BC24*(1+PNAVAT)))</f>
        <v>239.23510303030307</v>
      </c>
      <c r="AZ24" s="496">
        <f t="shared" si="13"/>
        <v>206.23715778474403</v>
      </c>
      <c r="BA24" s="9">
        <f t="shared" si="14"/>
        <v>0</v>
      </c>
      <c r="BB24" s="9">
        <f t="shared" si="15"/>
        <v>206.23715778474403</v>
      </c>
      <c r="BC24" s="9">
        <f t="shared" si="23"/>
        <v>51.742954748874752</v>
      </c>
      <c r="BD24" s="9">
        <f t="shared" si="43"/>
        <v>154.49420303586928</v>
      </c>
      <c r="BE24" s="9">
        <f t="shared" si="24"/>
        <v>4529.1301713940811</v>
      </c>
      <c r="BF24" s="531">
        <f>IF($E$1='بيانات للادخال'!$M$2,IF(AND(OR(AX24=11+$Z$3,AX24=12+$Z$3,AX24=23+$Z$3,AX24=24+$Z$3,AX24=35+$Z$3,AX24=36+$Z$3,AX24=47+$Z$3,AX24=48+$Z$3,AX24=59+$Z$3,AX24=60+$Z$3),AX24&lt;=$G$3),$E$61/2,AY24),IF($E$1='بيانات للادخال'!$M$3,AC24))</f>
        <v>199.36258585858587</v>
      </c>
      <c r="BG24" s="547" t="str">
        <f t="shared" si="25"/>
        <v>Jun 2020</v>
      </c>
      <c r="BH24" s="541">
        <f t="shared" si="26"/>
        <v>239.23510303030307</v>
      </c>
      <c r="BI24" s="548">
        <f t="shared" si="27"/>
        <v>206.23715778474403</v>
      </c>
    </row>
    <row r="25" spans="1:61">
      <c r="A25" s="552" t="s">
        <v>282</v>
      </c>
      <c r="B25" s="554"/>
      <c r="D25" s="121" t="s">
        <v>317</v>
      </c>
      <c r="E25" s="997"/>
      <c r="G25" s="536">
        <f t="shared" si="28"/>
        <v>2020</v>
      </c>
      <c r="H25" s="537" t="str">
        <f t="shared" si="16"/>
        <v>Jul</v>
      </c>
      <c r="I25" s="447">
        <f t="shared" si="29"/>
        <v>17</v>
      </c>
      <c r="J25" s="496">
        <f>IF(OR(التوصية!$B$248='بيانات للادخال'!$F$2,التوصية!$B$248='بيانات للادخال'!$F$3),K25*(1+PNAVAT),IF(التوصية!$B$248='بيانات للادخال'!$F$4,(K25-N25)+N25*(1+PNAVAT)))</f>
        <v>199.36258585858587</v>
      </c>
      <c r="K25" s="496">
        <f t="shared" si="17"/>
        <v>171.86429815395334</v>
      </c>
      <c r="L25" s="9">
        <f t="shared" si="1"/>
        <v>0</v>
      </c>
      <c r="M25" s="9">
        <f t="shared" si="2"/>
        <v>171.86429815395334</v>
      </c>
      <c r="N25" s="9">
        <f t="shared" si="18"/>
        <v>49.075306051789312</v>
      </c>
      <c r="O25" s="538">
        <f t="shared" si="30"/>
        <v>4523.2490616799969</v>
      </c>
      <c r="P25" s="539" t="str">
        <f t="shared" si="3"/>
        <v>Jul</v>
      </c>
      <c r="Q25" s="447">
        <f t="shared" si="4"/>
        <v>2020</v>
      </c>
      <c r="R25" s="447">
        <f t="shared" si="31"/>
        <v>17</v>
      </c>
      <c r="S25" s="496">
        <f>IF(OR(التوصية!$B$248='بيانات للادخال'!$F$2,التوصية!$B$248='بيانات للادخال'!$F$3),T25*(1+PNAVAT),IF(التوصية!$B$248='بيانات للادخال'!$F$4,(T25-W25)+W25*(1+PNAVAT)))</f>
        <v>199.36258585858587</v>
      </c>
      <c r="T25" s="9">
        <f t="shared" si="19"/>
        <v>171.86429815395334</v>
      </c>
      <c r="U25" s="9">
        <f t="shared" si="5"/>
        <v>0</v>
      </c>
      <c r="V25" s="9">
        <f t="shared" si="6"/>
        <v>171.86429815395334</v>
      </c>
      <c r="W25" s="9">
        <f t="shared" si="20"/>
        <v>49.075306051789312</v>
      </c>
      <c r="X25" s="9">
        <f t="shared" si="32"/>
        <v>4523.2490616799969</v>
      </c>
      <c r="Y25" s="538">
        <f t="shared" si="33"/>
        <v>122.78899210216403</v>
      </c>
      <c r="Z25" s="494">
        <f t="shared" si="7"/>
        <v>2020</v>
      </c>
      <c r="AA25" s="537" t="str">
        <f t="shared" si="7"/>
        <v>Jul</v>
      </c>
      <c r="AB25" s="447">
        <f t="shared" si="34"/>
        <v>17</v>
      </c>
      <c r="AC25" s="496">
        <f>IF(OR(التوصية!$B$248='بيانات للادخال'!$F$2,التوصية!$B$248='بيانات للادخال'!$F$3),AD25*(1+PNAVAT),IF(التوصية!$B$248='بيانات للادخال'!$F$4,(AD25-AG25)+AG25*(1+PNAVAT)))</f>
        <v>199.36258585858587</v>
      </c>
      <c r="AD25" s="496">
        <f t="shared" si="8"/>
        <v>171.86429815395334</v>
      </c>
      <c r="AE25" s="9">
        <f t="shared" si="9"/>
        <v>0</v>
      </c>
      <c r="AF25" s="9">
        <f t="shared" si="10"/>
        <v>171.86429815395334</v>
      </c>
      <c r="AG25" s="9">
        <f t="shared" si="21"/>
        <v>49.075306051789312</v>
      </c>
      <c r="AH25" s="538">
        <f t="shared" si="35"/>
        <v>4523.2490616799969</v>
      </c>
      <c r="AI25" s="549" t="str">
        <f t="shared" si="36"/>
        <v>normal</v>
      </c>
      <c r="AJ25" s="537" t="str">
        <f t="shared" si="37"/>
        <v>May</v>
      </c>
      <c r="AK25" s="447">
        <f t="shared" si="38"/>
        <v>2020</v>
      </c>
      <c r="AL25" s="447">
        <f t="shared" si="46"/>
        <v>15</v>
      </c>
      <c r="AM25" s="496">
        <f>IF(OR(التوصية!$B$248='بيانات للادخال'!$F$2,التوصية!$B$248='بيانات للادخال'!$F$3),AN25*(1+PNAVAT),IF(التوصية!$B$248='بيانات للادخال'!$F$4,(AN25-AQ25)+AQ25*(1+PNAVAT)))</f>
        <v>199.36258585858587</v>
      </c>
      <c r="AN25" s="496">
        <f t="shared" si="39"/>
        <v>171.86429815395334</v>
      </c>
      <c r="AO25" s="9">
        <f t="shared" si="40"/>
        <v>0</v>
      </c>
      <c r="AP25" s="9">
        <f t="shared" si="41"/>
        <v>171.86429815395334</v>
      </c>
      <c r="AQ25" s="9">
        <f t="shared" si="44"/>
        <v>51.628775689049753</v>
      </c>
      <c r="AR25" s="550">
        <f t="shared" si="45"/>
        <v>4767.5436035251359</v>
      </c>
      <c r="AS25" s="501" t="str">
        <f t="shared" si="0"/>
        <v>Dec</v>
      </c>
      <c r="AT25" s="495" t="str">
        <f t="shared" si="47"/>
        <v>normal</v>
      </c>
      <c r="AU25" s="539" t="str">
        <f t="shared" si="11"/>
        <v>Jul</v>
      </c>
      <c r="AV25" s="447">
        <f t="shared" si="12"/>
        <v>2020</v>
      </c>
      <c r="AW25" s="447" t="str">
        <f t="shared" si="22"/>
        <v>Jul 2020</v>
      </c>
      <c r="AX25" s="448">
        <f t="shared" si="42"/>
        <v>17</v>
      </c>
      <c r="AY25" s="496">
        <f>IF(OR(التوصية!$B$248='بيانات للادخال'!$F$2,التوصية!$B$248='بيانات للادخال'!$F$3),AZ25*(1+PNAVAT),IF(التوصية!$B$248='بيانات للادخال'!$F$4,(AZ25-BC25)+BC25*(1+PNAVAT)))</f>
        <v>239.23510303030307</v>
      </c>
      <c r="AZ25" s="496">
        <f t="shared" si="13"/>
        <v>206.23715778474403</v>
      </c>
      <c r="BA25" s="9">
        <f t="shared" si="14"/>
        <v>0</v>
      </c>
      <c r="BB25" s="9">
        <f t="shared" si="15"/>
        <v>206.23715778474403</v>
      </c>
      <c r="BC25" s="9">
        <f t="shared" si="23"/>
        <v>50.036159771828501</v>
      </c>
      <c r="BD25" s="9">
        <f t="shared" si="43"/>
        <v>156.20099801291553</v>
      </c>
      <c r="BE25" s="9">
        <f t="shared" si="24"/>
        <v>4372.929173381166</v>
      </c>
      <c r="BF25" s="531">
        <f>IF($E$1='بيانات للادخال'!$M$2,IF(AND(OR(AX25=11+$Z$3,AX25=12+$Z$3,AX25=23+$Z$3,AX25=24+$Z$3,AX25=35+$Z$3,AX25=36+$Z$3,AX25=47+$Z$3,AX25=48+$Z$3,AX25=59+$Z$3,AX25=60+$Z$3),AX25&lt;=$G$3),$E$61/2,AY25),IF($E$1='بيانات للادخال'!$M$3,AC25))</f>
        <v>199.36258585858587</v>
      </c>
      <c r="BG25" s="547" t="str">
        <f t="shared" si="25"/>
        <v>Jul 2020</v>
      </c>
      <c r="BH25" s="541">
        <f t="shared" si="26"/>
        <v>239.23510303030307</v>
      </c>
      <c r="BI25" s="548">
        <f t="shared" si="27"/>
        <v>206.23715778474403</v>
      </c>
    </row>
    <row r="26" spans="1:61">
      <c r="A26" s="451" t="s">
        <v>271</v>
      </c>
      <c r="B26" s="554"/>
      <c r="D26" s="121" t="s">
        <v>338</v>
      </c>
      <c r="E26" s="565">
        <f>usdrate</f>
        <v>3.3</v>
      </c>
      <c r="G26" s="536">
        <f t="shared" si="28"/>
        <v>2020</v>
      </c>
      <c r="H26" s="537" t="str">
        <f t="shared" si="16"/>
        <v>Aug</v>
      </c>
      <c r="I26" s="447">
        <f t="shared" si="29"/>
        <v>18</v>
      </c>
      <c r="J26" s="496">
        <f>IF(OR(التوصية!$B$248='بيانات للادخال'!$F$2,التوصية!$B$248='بيانات للادخال'!$F$3),K26*(1+PNAVAT),IF(التوصية!$B$248='بيانات للادخال'!$F$4,(K26-N26)+N26*(1+PNAVAT)))</f>
        <v>199.36258585858587</v>
      </c>
      <c r="K26" s="496">
        <f t="shared" si="17"/>
        <v>171.86429815395334</v>
      </c>
      <c r="L26" s="9">
        <f t="shared" si="1"/>
        <v>0</v>
      </c>
      <c r="M26" s="9">
        <f t="shared" si="2"/>
        <v>171.86429815395334</v>
      </c>
      <c r="N26" s="9">
        <f t="shared" si="18"/>
        <v>47.778306910273677</v>
      </c>
      <c r="O26" s="538">
        <f t="shared" si="30"/>
        <v>4399.163070436317</v>
      </c>
      <c r="P26" s="539" t="str">
        <f t="shared" si="3"/>
        <v>Aug</v>
      </c>
      <c r="Q26" s="447">
        <f t="shared" si="4"/>
        <v>2020</v>
      </c>
      <c r="R26" s="447">
        <f t="shared" si="31"/>
        <v>18</v>
      </c>
      <c r="S26" s="496">
        <f>IF(OR(التوصية!$B$248='بيانات للادخال'!$F$2,التوصية!$B$248='بيانات للادخال'!$F$3),T26*(1+PNAVAT),IF(التوصية!$B$248='بيانات للادخال'!$F$4,(T26-W26)+W26*(1+PNAVAT)))</f>
        <v>199.36258585858587</v>
      </c>
      <c r="T26" s="9">
        <f t="shared" si="19"/>
        <v>171.86429815395334</v>
      </c>
      <c r="U26" s="9">
        <f t="shared" si="5"/>
        <v>0</v>
      </c>
      <c r="V26" s="9">
        <f t="shared" si="6"/>
        <v>171.86429815395334</v>
      </c>
      <c r="W26" s="9">
        <f t="shared" si="20"/>
        <v>47.778306910273677</v>
      </c>
      <c r="X26" s="9">
        <f t="shared" si="32"/>
        <v>4399.163070436317</v>
      </c>
      <c r="Y26" s="538">
        <f t="shared" si="33"/>
        <v>124.08599124367967</v>
      </c>
      <c r="Z26" s="494">
        <f t="shared" si="7"/>
        <v>2020</v>
      </c>
      <c r="AA26" s="537" t="str">
        <f t="shared" si="7"/>
        <v>Aug</v>
      </c>
      <c r="AB26" s="447">
        <f t="shared" si="34"/>
        <v>18</v>
      </c>
      <c r="AC26" s="496">
        <f>IF(OR(التوصية!$B$248='بيانات للادخال'!$F$2,التوصية!$B$248='بيانات للادخال'!$F$3),AD26*(1+PNAVAT),IF(التوصية!$B$248='بيانات للادخال'!$F$4,(AD26-AG26)+AG26*(1+PNAVAT)))</f>
        <v>199.36258585858587</v>
      </c>
      <c r="AD26" s="496">
        <f t="shared" si="8"/>
        <v>171.86429815395334</v>
      </c>
      <c r="AE26" s="9">
        <f t="shared" si="9"/>
        <v>0</v>
      </c>
      <c r="AF26" s="9">
        <f t="shared" si="10"/>
        <v>171.86429815395334</v>
      </c>
      <c r="AG26" s="9">
        <f t="shared" si="21"/>
        <v>47.778306910273677</v>
      </c>
      <c r="AH26" s="538">
        <f t="shared" si="35"/>
        <v>4399.163070436317</v>
      </c>
      <c r="AI26" s="549" t="str">
        <f t="shared" si="36"/>
        <v>normal</v>
      </c>
      <c r="AJ26" s="537" t="str">
        <f t="shared" si="37"/>
        <v>Jun</v>
      </c>
      <c r="AK26" s="447">
        <f t="shared" si="38"/>
        <v>2020</v>
      </c>
      <c r="AL26" s="447">
        <f t="shared" si="46"/>
        <v>16</v>
      </c>
      <c r="AM26" s="496">
        <f>IF(OR(التوصية!$B$248='بيانات للادخال'!$F$2,التوصية!$B$248='بيانات للادخال'!$F$3),AN26*(1+PNAVAT),IF(التوصية!$B$248='بيانات للادخال'!$F$4,(AN26-AQ26)+AQ26*(1+PNAVAT)))</f>
        <v>199.36258585858587</v>
      </c>
      <c r="AN26" s="496">
        <f t="shared" si="39"/>
        <v>171.86429815395334</v>
      </c>
      <c r="AO26" s="9">
        <f t="shared" si="40"/>
        <v>0</v>
      </c>
      <c r="AP26" s="9">
        <f t="shared" si="41"/>
        <v>171.86429815395334</v>
      </c>
      <c r="AQ26" s="9">
        <f t="shared" si="44"/>
        <v>50.358748410978173</v>
      </c>
      <c r="AR26" s="550">
        <f t="shared" si="45"/>
        <v>4646.0380537821611</v>
      </c>
      <c r="AS26" s="501" t="str">
        <f t="shared" si="0"/>
        <v>Jan</v>
      </c>
      <c r="AT26" s="495" t="str">
        <f t="shared" si="47"/>
        <v>normal</v>
      </c>
      <c r="AU26" s="539" t="str">
        <f t="shared" si="11"/>
        <v>Aug</v>
      </c>
      <c r="AV26" s="447">
        <f t="shared" si="12"/>
        <v>2020</v>
      </c>
      <c r="AW26" s="447" t="str">
        <f t="shared" si="22"/>
        <v>Aug 2020</v>
      </c>
      <c r="AX26" s="448">
        <f t="shared" si="42"/>
        <v>18</v>
      </c>
      <c r="AY26" s="496">
        <f>IF(OR(التوصية!$B$248='بيانات للادخال'!$F$2,التوصية!$B$248='بيانات للادخال'!$F$3),AZ26*(1+PNAVAT),IF(التوصية!$B$248='بيانات للادخال'!$F$4,(AZ26-BC26)+BC26*(1+PNAVAT)))</f>
        <v>239.23510303030307</v>
      </c>
      <c r="AZ26" s="496">
        <f t="shared" si="13"/>
        <v>206.23715778474403</v>
      </c>
      <c r="BA26" s="9">
        <f t="shared" si="14"/>
        <v>0</v>
      </c>
      <c r="BB26" s="9">
        <f t="shared" si="15"/>
        <v>206.23715778474403</v>
      </c>
      <c r="BC26" s="9">
        <f t="shared" si="23"/>
        <v>48.310508753348813</v>
      </c>
      <c r="BD26" s="9">
        <f t="shared" si="43"/>
        <v>157.92664903139521</v>
      </c>
      <c r="BE26" s="9">
        <f t="shared" si="24"/>
        <v>4215.0025243497712</v>
      </c>
      <c r="BF26" s="531">
        <f>IF($E$1='بيانات للادخال'!$M$2,IF(AND(OR(AX26=11+$Z$3,AX26=12+$Z$3,AX26=23+$Z$3,AX26=24+$Z$3,AX26=35+$Z$3,AX26=36+$Z$3,AX26=47+$Z$3,AX26=48+$Z$3,AX26=59+$Z$3,AX26=60+$Z$3),AX26&lt;=$G$3),$E$61/2,AY26),IF($E$1='بيانات للادخال'!$M$3,AC26))</f>
        <v>199.36258585858587</v>
      </c>
      <c r="BG26" s="547" t="str">
        <f t="shared" si="25"/>
        <v>Aug 2020</v>
      </c>
      <c r="BH26" s="541">
        <f t="shared" si="26"/>
        <v>239.23510303030307</v>
      </c>
      <c r="BI26" s="548">
        <f t="shared" si="27"/>
        <v>206.23715778474403</v>
      </c>
    </row>
    <row r="27" spans="1:61">
      <c r="A27" s="471" t="s">
        <v>272</v>
      </c>
      <c r="B27" s="554"/>
      <c r="D27" s="121" t="s">
        <v>339</v>
      </c>
      <c r="E27" s="566">
        <f>IF(OR(التوصية!$B$248='بيانات للادخال'!$F$2,التوصية!$B$248='بيانات للادخال'!$F$3),الأصل!$E$6/(1+PNAVAT),IF(التوصية!$B$248='بيانات للادخال'!$F$4,الأصل!$E$6))</f>
        <v>0</v>
      </c>
      <c r="G27" s="536">
        <f t="shared" si="28"/>
        <v>2020</v>
      </c>
      <c r="H27" s="537" t="str">
        <f t="shared" si="16"/>
        <v>Sep</v>
      </c>
      <c r="I27" s="447">
        <f t="shared" si="29"/>
        <v>19</v>
      </c>
      <c r="J27" s="496">
        <f>IF(OR(التوصية!$B$248='بيانات للادخال'!$F$2,التوصية!$B$248='بيانات للادخال'!$F$3),K27*(1+PNAVAT),IF(التوصية!$B$248='بيانات للادخال'!$F$4,(K27-N27)+N27*(1+PNAVAT)))</f>
        <v>199.36258585858587</v>
      </c>
      <c r="K27" s="496">
        <f t="shared" si="17"/>
        <v>171.86429815395334</v>
      </c>
      <c r="L27" s="9">
        <f t="shared" si="1"/>
        <v>0</v>
      </c>
      <c r="M27" s="9">
        <f t="shared" si="2"/>
        <v>171.86429815395334</v>
      </c>
      <c r="N27" s="9">
        <f t="shared" si="18"/>
        <v>46.467607788456121</v>
      </c>
      <c r="O27" s="538">
        <f t="shared" si="30"/>
        <v>4273.7663800708197</v>
      </c>
      <c r="P27" s="539" t="str">
        <f t="shared" si="3"/>
        <v>Sep</v>
      </c>
      <c r="Q27" s="447">
        <f t="shared" si="4"/>
        <v>2020</v>
      </c>
      <c r="R27" s="447">
        <f t="shared" si="31"/>
        <v>19</v>
      </c>
      <c r="S27" s="496">
        <f>IF(OR(التوصية!$B$248='بيانات للادخال'!$F$2,التوصية!$B$248='بيانات للادخال'!$F$3),T27*(1+PNAVAT),IF(التوصية!$B$248='بيانات للادخال'!$F$4,(T27-W27)+W27*(1+PNAVAT)))</f>
        <v>199.36258585858587</v>
      </c>
      <c r="T27" s="9">
        <f t="shared" si="19"/>
        <v>171.86429815395334</v>
      </c>
      <c r="U27" s="9">
        <f t="shared" si="5"/>
        <v>0</v>
      </c>
      <c r="V27" s="9">
        <f t="shared" si="6"/>
        <v>171.86429815395334</v>
      </c>
      <c r="W27" s="9">
        <f t="shared" si="20"/>
        <v>46.467607788456121</v>
      </c>
      <c r="X27" s="9">
        <f t="shared" si="32"/>
        <v>4273.7663800708197</v>
      </c>
      <c r="Y27" s="538">
        <f t="shared" si="33"/>
        <v>125.39669036549722</v>
      </c>
      <c r="Z27" s="494">
        <f t="shared" si="7"/>
        <v>2020</v>
      </c>
      <c r="AA27" s="537" t="str">
        <f t="shared" si="7"/>
        <v>Sep</v>
      </c>
      <c r="AB27" s="447">
        <f t="shared" si="34"/>
        <v>19</v>
      </c>
      <c r="AC27" s="496">
        <f>IF(OR(التوصية!$B$248='بيانات للادخال'!$F$2,التوصية!$B$248='بيانات للادخال'!$F$3),AD27*(1+PNAVAT),IF(التوصية!$B$248='بيانات للادخال'!$F$4,(AD27-AG27)+AG27*(1+PNAVAT)))</f>
        <v>199.36258585858587</v>
      </c>
      <c r="AD27" s="496">
        <f t="shared" si="8"/>
        <v>171.86429815395334</v>
      </c>
      <c r="AE27" s="9">
        <f t="shared" si="9"/>
        <v>0</v>
      </c>
      <c r="AF27" s="9">
        <f t="shared" si="10"/>
        <v>171.86429815395334</v>
      </c>
      <c r="AG27" s="9">
        <f t="shared" si="21"/>
        <v>46.467607788456121</v>
      </c>
      <c r="AH27" s="538">
        <f t="shared" si="35"/>
        <v>4273.7663800708197</v>
      </c>
      <c r="AI27" s="549" t="str">
        <f t="shared" si="36"/>
        <v>normal</v>
      </c>
      <c r="AJ27" s="537" t="str">
        <f t="shared" si="37"/>
        <v>Jul</v>
      </c>
      <c r="AK27" s="447">
        <f t="shared" si="38"/>
        <v>2020</v>
      </c>
      <c r="AL27" s="447">
        <f t="shared" si="46"/>
        <v>17</v>
      </c>
      <c r="AM27" s="496">
        <f>IF(OR(التوصية!$B$248='بيانات للادخال'!$F$2,التوصية!$B$248='بيانات للادخال'!$F$3),AN27*(1+PNAVAT),IF(التوصية!$B$248='بيانات للادخال'!$F$4,(AN27-AQ27)+AQ27*(1+PNAVAT)))</f>
        <v>199.36258585858587</v>
      </c>
      <c r="AN27" s="496">
        <f t="shared" si="39"/>
        <v>171.86429815395334</v>
      </c>
      <c r="AO27" s="9">
        <f t="shared" si="40"/>
        <v>0</v>
      </c>
      <c r="AP27" s="9">
        <f t="shared" si="41"/>
        <v>171.86429815395334</v>
      </c>
      <c r="AQ27" s="9">
        <f t="shared" si="44"/>
        <v>49.075306051789312</v>
      </c>
      <c r="AR27" s="550">
        <f t="shared" si="45"/>
        <v>4523.2490616799969</v>
      </c>
      <c r="AS27" s="501" t="str">
        <f t="shared" si="0"/>
        <v>Feb</v>
      </c>
      <c r="AT27" s="495" t="str">
        <f t="shared" si="47"/>
        <v>normal</v>
      </c>
      <c r="AU27" s="539" t="str">
        <f t="shared" si="11"/>
        <v>Sep</v>
      </c>
      <c r="AV27" s="447">
        <f t="shared" si="12"/>
        <v>2020</v>
      </c>
      <c r="AW27" s="447" t="str">
        <f t="shared" si="22"/>
        <v>Sep 2020</v>
      </c>
      <c r="AX27" s="448">
        <f t="shared" si="42"/>
        <v>19</v>
      </c>
      <c r="AY27" s="496">
        <f>IF(OR(التوصية!$B$248='بيانات للادخال'!$F$2,التوصية!$B$248='بيانات للادخال'!$F$3),AZ27*(1+PNAVAT),IF(التوصية!$B$248='بيانات للادخال'!$F$4,(AZ27-BC27)+BC27*(1+PNAVAT)))</f>
        <v>239.23510303030307</v>
      </c>
      <c r="AZ27" s="496">
        <f t="shared" si="13"/>
        <v>206.23715778474403</v>
      </c>
      <c r="BA27" s="9">
        <f t="shared" si="14"/>
        <v>0</v>
      </c>
      <c r="BB27" s="9">
        <f t="shared" si="15"/>
        <v>206.23715778474403</v>
      </c>
      <c r="BC27" s="9">
        <f t="shared" si="23"/>
        <v>46.565793378844113</v>
      </c>
      <c r="BD27" s="9">
        <f t="shared" si="43"/>
        <v>159.67136440589991</v>
      </c>
      <c r="BE27" s="9">
        <f t="shared" si="24"/>
        <v>4055.3311599438712</v>
      </c>
      <c r="BF27" s="531">
        <f>IF($E$1='بيانات للادخال'!$M$2,IF(AND(OR(AX27=11+$Z$3,AX27=12+$Z$3,AX27=23+$Z$3,AX27=24+$Z$3,AX27=35+$Z$3,AX27=36+$Z$3,AX27=47+$Z$3,AX27=48+$Z$3,AX27=59+$Z$3,AX27=60+$Z$3),AX27&lt;=$G$3),$E$61/2,AY27),IF($E$1='بيانات للادخال'!$M$3,AC27))</f>
        <v>199.36258585858587</v>
      </c>
      <c r="BG27" s="547" t="str">
        <f t="shared" si="25"/>
        <v>Sep 2020</v>
      </c>
      <c r="BH27" s="541">
        <f t="shared" si="26"/>
        <v>239.23510303030307</v>
      </c>
      <c r="BI27" s="548">
        <f t="shared" si="27"/>
        <v>206.23715778474403</v>
      </c>
    </row>
    <row r="28" spans="1:61">
      <c r="A28" s="471" t="s">
        <v>273</v>
      </c>
      <c r="B28" s="554"/>
      <c r="D28" s="121" t="s">
        <v>340</v>
      </c>
      <c r="E28" s="566">
        <f>IF(OR(التوصية!$B$248='بيانات للادخال'!$F$2,التوصية!$B$248='بيانات للادخال'!$F$3),الأصل!$F$6/(1+PNAVAT),IF(التوصية!$B$248='بيانات للادخال'!$F$4,الأصل!$F$6))</f>
        <v>0</v>
      </c>
      <c r="G28" s="536">
        <f t="shared" si="28"/>
        <v>2020</v>
      </c>
      <c r="H28" s="537" t="str">
        <f t="shared" si="16"/>
        <v>Oct</v>
      </c>
      <c r="I28" s="447">
        <f t="shared" si="29"/>
        <v>20</v>
      </c>
      <c r="J28" s="496">
        <f>IF(OR(التوصية!$B$248='بيانات للادخال'!$F$2,التوصية!$B$248='بيانات للادخال'!$F$3),K28*(1+PNAVAT),IF(التوصية!$B$248='بيانات للادخال'!$F$4,(K28-N28)+N28*(1+PNAVAT)))</f>
        <v>199.36258585858587</v>
      </c>
      <c r="K28" s="496">
        <f t="shared" si="17"/>
        <v>171.86429815395334</v>
      </c>
      <c r="L28" s="9">
        <f t="shared" si="1"/>
        <v>0</v>
      </c>
      <c r="M28" s="9">
        <f t="shared" si="2"/>
        <v>171.86429815395334</v>
      </c>
      <c r="N28" s="9">
        <f t="shared" si="18"/>
        <v>45.143063975785743</v>
      </c>
      <c r="O28" s="538">
        <f t="shared" si="30"/>
        <v>4147.0451458926518</v>
      </c>
      <c r="P28" s="539" t="str">
        <f t="shared" si="3"/>
        <v>Oct</v>
      </c>
      <c r="Q28" s="447">
        <f t="shared" si="4"/>
        <v>2020</v>
      </c>
      <c r="R28" s="447">
        <f t="shared" si="31"/>
        <v>20</v>
      </c>
      <c r="S28" s="496">
        <f>IF(OR(التوصية!$B$248='بيانات للادخال'!$F$2,التوصية!$B$248='بيانات للادخال'!$F$3),T28*(1+PNAVAT),IF(التوصية!$B$248='بيانات للادخال'!$F$4,(T28-W28)+W28*(1+PNAVAT)))</f>
        <v>199.36258585858587</v>
      </c>
      <c r="T28" s="9">
        <f t="shared" si="19"/>
        <v>171.86429815395334</v>
      </c>
      <c r="U28" s="9">
        <f t="shared" si="5"/>
        <v>0</v>
      </c>
      <c r="V28" s="9">
        <f t="shared" si="6"/>
        <v>171.86429815395334</v>
      </c>
      <c r="W28" s="9">
        <f t="shared" si="20"/>
        <v>45.143063975785743</v>
      </c>
      <c r="X28" s="9">
        <f t="shared" si="32"/>
        <v>4147.0451458926518</v>
      </c>
      <c r="Y28" s="538">
        <f t="shared" si="33"/>
        <v>126.72123417816761</v>
      </c>
      <c r="Z28" s="494">
        <f t="shared" si="7"/>
        <v>2020</v>
      </c>
      <c r="AA28" s="537" t="str">
        <f t="shared" si="7"/>
        <v>Oct</v>
      </c>
      <c r="AB28" s="447">
        <f t="shared" si="34"/>
        <v>20</v>
      </c>
      <c r="AC28" s="496">
        <f>IF(OR(التوصية!$B$248='بيانات للادخال'!$F$2,التوصية!$B$248='بيانات للادخال'!$F$3),AD28*(1+PNAVAT),IF(التوصية!$B$248='بيانات للادخال'!$F$4,(AD28-AG28)+AG28*(1+PNAVAT)))</f>
        <v>199.36258585858587</v>
      </c>
      <c r="AD28" s="496">
        <f t="shared" si="8"/>
        <v>171.86429815395334</v>
      </c>
      <c r="AE28" s="9">
        <f t="shared" si="9"/>
        <v>0</v>
      </c>
      <c r="AF28" s="9">
        <f t="shared" si="10"/>
        <v>171.86429815395334</v>
      </c>
      <c r="AG28" s="9">
        <f t="shared" si="21"/>
        <v>45.143063975785743</v>
      </c>
      <c r="AH28" s="538">
        <f t="shared" si="35"/>
        <v>4147.0451458926518</v>
      </c>
      <c r="AI28" s="549" t="str">
        <f t="shared" si="36"/>
        <v>normal</v>
      </c>
      <c r="AJ28" s="537" t="str">
        <f t="shared" si="37"/>
        <v>Aug</v>
      </c>
      <c r="AK28" s="447">
        <f t="shared" si="38"/>
        <v>2020</v>
      </c>
      <c r="AL28" s="447">
        <f t="shared" si="46"/>
        <v>18</v>
      </c>
      <c r="AM28" s="496">
        <f>IF(OR(التوصية!$B$248='بيانات للادخال'!$F$2,التوصية!$B$248='بيانات للادخال'!$F$3),AN28*(1+PNAVAT),IF(التوصية!$B$248='بيانات للادخال'!$F$4,(AN28-AQ28)+AQ28*(1+PNAVAT)))</f>
        <v>199.36258585858587</v>
      </c>
      <c r="AN28" s="496">
        <f t="shared" si="39"/>
        <v>171.86429815395334</v>
      </c>
      <c r="AO28" s="9">
        <f t="shared" si="40"/>
        <v>0</v>
      </c>
      <c r="AP28" s="9">
        <f t="shared" si="41"/>
        <v>171.86429815395334</v>
      </c>
      <c r="AQ28" s="9">
        <f t="shared" si="44"/>
        <v>47.778306910273677</v>
      </c>
      <c r="AR28" s="550">
        <f t="shared" si="45"/>
        <v>4399.163070436317</v>
      </c>
      <c r="AS28" s="501" t="str">
        <f t="shared" si="0"/>
        <v>Mar</v>
      </c>
      <c r="AT28" s="495" t="str">
        <f t="shared" si="47"/>
        <v>normal</v>
      </c>
      <c r="AU28" s="539" t="str">
        <f t="shared" si="11"/>
        <v>Oct</v>
      </c>
      <c r="AV28" s="447">
        <f t="shared" si="12"/>
        <v>2020</v>
      </c>
      <c r="AW28" s="447" t="str">
        <f t="shared" si="22"/>
        <v>Oct 2020</v>
      </c>
      <c r="AX28" s="448">
        <f t="shared" si="42"/>
        <v>20</v>
      </c>
      <c r="AY28" s="496">
        <f>IF(OR(التوصية!$B$248='بيانات للادخال'!$F$2,التوصية!$B$248='بيانات للادخال'!$F$3),AZ28*(1+PNAVAT),IF(التوصية!$B$248='بيانات للادخال'!$F$4,(AZ28-BC28)+BC28*(1+PNAVAT)))</f>
        <v>239.23510303030307</v>
      </c>
      <c r="AZ28" s="496">
        <f t="shared" si="13"/>
        <v>206.23715778474403</v>
      </c>
      <c r="BA28" s="9">
        <f t="shared" si="14"/>
        <v>0</v>
      </c>
      <c r="BB28" s="9">
        <f t="shared" si="15"/>
        <v>206.23715778474403</v>
      </c>
      <c r="BC28" s="9">
        <f t="shared" si="23"/>
        <v>44.801803032340047</v>
      </c>
      <c r="BD28" s="9">
        <f t="shared" si="43"/>
        <v>161.43535475240398</v>
      </c>
      <c r="BE28" s="9">
        <f t="shared" si="24"/>
        <v>3893.8958051914674</v>
      </c>
      <c r="BF28" s="531">
        <f>IF($E$1='بيانات للادخال'!$M$2,IF(AND(OR(AX28=11+$Z$3,AX28=12+$Z$3,AX28=23+$Z$3,AX28=24+$Z$3,AX28=35+$Z$3,AX28=36+$Z$3,AX28=47+$Z$3,AX28=48+$Z$3,AX28=59+$Z$3,AX28=60+$Z$3),AX28&lt;=$G$3),$E$61/2,AY28),IF($E$1='بيانات للادخال'!$M$3,AC28))</f>
        <v>199.36258585858587</v>
      </c>
      <c r="BG28" s="547" t="str">
        <f t="shared" si="25"/>
        <v>Oct 2020</v>
      </c>
      <c r="BH28" s="541">
        <f t="shared" si="26"/>
        <v>239.23510303030307</v>
      </c>
      <c r="BI28" s="548">
        <f t="shared" si="27"/>
        <v>206.23715778474403</v>
      </c>
    </row>
    <row r="29" spans="1:61">
      <c r="A29" s="471" t="s">
        <v>274</v>
      </c>
      <c r="B29" s="554"/>
      <c r="D29" s="121" t="s">
        <v>9</v>
      </c>
      <c r="E29" s="22">
        <f>E27-E28</f>
        <v>0</v>
      </c>
      <c r="G29" s="536">
        <f t="shared" si="28"/>
        <v>2020</v>
      </c>
      <c r="H29" s="537" t="str">
        <f t="shared" si="16"/>
        <v>Nov</v>
      </c>
      <c r="I29" s="447">
        <f t="shared" si="29"/>
        <v>21</v>
      </c>
      <c r="J29" s="496">
        <f>IF(OR(التوصية!$B$248='بيانات للادخال'!$F$2,التوصية!$B$248='بيانات للادخال'!$F$3),K29*(1+PNAVAT),IF(التوصية!$B$248='بيانات للادخال'!$F$4,(K29-N29)+N29*(1+PNAVAT)))</f>
        <v>199.36258585858587</v>
      </c>
      <c r="K29" s="496">
        <f t="shared" si="17"/>
        <v>171.86429815395334</v>
      </c>
      <c r="L29" s="9">
        <f t="shared" si="1"/>
        <v>0</v>
      </c>
      <c r="M29" s="9">
        <f t="shared" si="2"/>
        <v>171.86429815395334</v>
      </c>
      <c r="N29" s="9">
        <f t="shared" si="18"/>
        <v>43.80452923315886</v>
      </c>
      <c r="O29" s="538">
        <f t="shared" si="30"/>
        <v>4018.9853769718575</v>
      </c>
      <c r="P29" s="539" t="str">
        <f t="shared" si="3"/>
        <v>Nov</v>
      </c>
      <c r="Q29" s="447">
        <f t="shared" si="4"/>
        <v>2020</v>
      </c>
      <c r="R29" s="447">
        <f>R28+1</f>
        <v>21</v>
      </c>
      <c r="S29" s="496">
        <f>IF(OR(التوصية!$B$248='بيانات للادخال'!$F$2,التوصية!$B$248='بيانات للادخال'!$F$3),T29*(1+PNAVAT),IF(التوصية!$B$248='بيانات للادخال'!$F$4,(T29-W29)+W29*(1+PNAVAT)))</f>
        <v>199.36258585858587</v>
      </c>
      <c r="T29" s="9">
        <f t="shared" si="19"/>
        <v>171.86429815395334</v>
      </c>
      <c r="U29" s="9">
        <f t="shared" si="5"/>
        <v>0</v>
      </c>
      <c r="V29" s="9">
        <f t="shared" si="6"/>
        <v>171.86429815395334</v>
      </c>
      <c r="W29" s="9">
        <f t="shared" si="20"/>
        <v>43.80452923315886</v>
      </c>
      <c r="X29" s="9">
        <f>X28-(V29-W29)</f>
        <v>4018.9853769718575</v>
      </c>
      <c r="Y29" s="538">
        <f t="shared" si="33"/>
        <v>128.05976892079448</v>
      </c>
      <c r="Z29" s="494">
        <f t="shared" si="7"/>
        <v>2020</v>
      </c>
      <c r="AA29" s="537" t="str">
        <f t="shared" si="7"/>
        <v>Nov</v>
      </c>
      <c r="AB29" s="447">
        <f t="shared" si="34"/>
        <v>21</v>
      </c>
      <c r="AC29" s="496">
        <f>IF(OR(التوصية!$B$248='بيانات للادخال'!$F$2,التوصية!$B$248='بيانات للادخال'!$F$3),AD29*(1+PNAVAT),IF(التوصية!$B$248='بيانات للادخال'!$F$4,(AD29-AG29)+AG29*(1+PNAVAT)))</f>
        <v>199.36258585858587</v>
      </c>
      <c r="AD29" s="496">
        <f t="shared" si="8"/>
        <v>171.86429815395334</v>
      </c>
      <c r="AE29" s="9">
        <f t="shared" si="9"/>
        <v>0</v>
      </c>
      <c r="AF29" s="9">
        <f t="shared" si="10"/>
        <v>171.86429815395334</v>
      </c>
      <c r="AG29" s="9">
        <f t="shared" si="21"/>
        <v>43.80452923315886</v>
      </c>
      <c r="AH29" s="538">
        <f t="shared" si="35"/>
        <v>4018.9853769718575</v>
      </c>
      <c r="AI29" s="549" t="str">
        <f t="shared" si="36"/>
        <v>normal</v>
      </c>
      <c r="AJ29" s="537" t="str">
        <f t="shared" si="37"/>
        <v>Sep</v>
      </c>
      <c r="AK29" s="447">
        <f t="shared" si="38"/>
        <v>2020</v>
      </c>
      <c r="AL29" s="447">
        <f t="shared" si="46"/>
        <v>19</v>
      </c>
      <c r="AM29" s="496">
        <f>IF(OR(التوصية!$B$248='بيانات للادخال'!$F$2,التوصية!$B$248='بيانات للادخال'!$F$3),AN29*(1+PNAVAT),IF(التوصية!$B$248='بيانات للادخال'!$F$4,(AN29-AQ29)+AQ29*(1+PNAVAT)))</f>
        <v>199.36258585858587</v>
      </c>
      <c r="AN29" s="496">
        <f t="shared" si="39"/>
        <v>171.86429815395334</v>
      </c>
      <c r="AO29" s="9">
        <f t="shared" si="40"/>
        <v>0</v>
      </c>
      <c r="AP29" s="9">
        <f t="shared" si="41"/>
        <v>171.86429815395334</v>
      </c>
      <c r="AQ29" s="9">
        <f t="shared" si="44"/>
        <v>46.467607788456121</v>
      </c>
      <c r="AR29" s="550">
        <f t="shared" si="45"/>
        <v>4273.7663800708197</v>
      </c>
      <c r="AS29" s="501" t="str">
        <f t="shared" si="0"/>
        <v>Apr</v>
      </c>
      <c r="AT29" s="495" t="str">
        <f t="shared" si="47"/>
        <v>normal</v>
      </c>
      <c r="AU29" s="539" t="str">
        <f t="shared" si="11"/>
        <v>Nov</v>
      </c>
      <c r="AV29" s="447">
        <f t="shared" si="12"/>
        <v>2020</v>
      </c>
      <c r="AW29" s="447" t="str">
        <f t="shared" si="22"/>
        <v>Nov 2020</v>
      </c>
      <c r="AX29" s="448">
        <f t="shared" si="42"/>
        <v>21</v>
      </c>
      <c r="AY29" s="496">
        <f>IF(OR(التوصية!$B$248='بيانات للادخال'!$F$2,التوصية!$B$248='بيانات للادخال'!$F$3),AZ29*(1+PNAVAT),IF(التوصية!$B$248='بيانات للادخال'!$F$4,(AZ29-BC29)+BC29*(1+PNAVAT)))</f>
        <v>239.23510303030307</v>
      </c>
      <c r="AZ29" s="496">
        <f t="shared" si="13"/>
        <v>206.23715778474403</v>
      </c>
      <c r="BA29" s="9">
        <f t="shared" si="14"/>
        <v>0</v>
      </c>
      <c r="BB29" s="9">
        <f t="shared" si="15"/>
        <v>206.23715778474403</v>
      </c>
      <c r="BC29" s="9">
        <f t="shared" si="23"/>
        <v>43.018324771054665</v>
      </c>
      <c r="BD29" s="9">
        <f t="shared" si="43"/>
        <v>163.21883301368936</v>
      </c>
      <c r="BE29" s="9">
        <f t="shared" si="24"/>
        <v>3730.6769721777782</v>
      </c>
      <c r="BF29" s="531">
        <f>IF($E$1='بيانات للادخال'!$M$2,IF(AND(OR(AX29=11+$Z$3,AX29=12+$Z$3,AX29=23+$Z$3,AX29=24+$Z$3,AX29=35+$Z$3,AX29=36+$Z$3,AX29=47+$Z$3,AX29=48+$Z$3,AX29=59+$Z$3,AX29=60+$Z$3),AX29&lt;=$G$3),$E$61/2,AY29),IF($E$1='بيانات للادخال'!$M$3,AC29))</f>
        <v>199.36258585858587</v>
      </c>
      <c r="BG29" s="547" t="str">
        <f t="shared" si="25"/>
        <v>Nov 2020</v>
      </c>
      <c r="BH29" s="541">
        <f t="shared" si="26"/>
        <v>239.23510303030307</v>
      </c>
      <c r="BI29" s="548">
        <f t="shared" si="27"/>
        <v>206.23715778474403</v>
      </c>
    </row>
    <row r="30" spans="1:61">
      <c r="A30" s="471" t="s">
        <v>275</v>
      </c>
      <c r="B30" s="554"/>
      <c r="D30" s="543" t="s">
        <v>349</v>
      </c>
      <c r="E30" s="544" t="s">
        <v>350</v>
      </c>
      <c r="G30" s="536">
        <f t="shared" si="28"/>
        <v>2020</v>
      </c>
      <c r="H30" s="537" t="str">
        <f t="shared" si="16"/>
        <v>Dec</v>
      </c>
      <c r="I30" s="447">
        <f t="shared" si="29"/>
        <v>22</v>
      </c>
      <c r="J30" s="496">
        <f>IF(OR(التوصية!$B$248='بيانات للادخال'!$F$2,التوصية!$B$248='بيانات للادخال'!$F$3),K30*(1+PNAVAT),IF(التوصية!$B$248='بيانات للادخال'!$F$4,(K30-N30)+N30*(1+PNAVAT)))</f>
        <v>199.36258585858587</v>
      </c>
      <c r="K30" s="496">
        <f t="shared" si="17"/>
        <v>171.86429815395334</v>
      </c>
      <c r="L30" s="9">
        <f t="shared" si="1"/>
        <v>0</v>
      </c>
      <c r="M30" s="9">
        <f t="shared" si="2"/>
        <v>171.86429815395334</v>
      </c>
      <c r="N30" s="9">
        <f t="shared" si="18"/>
        <v>42.451855776773073</v>
      </c>
      <c r="O30" s="538">
        <f t="shared" si="30"/>
        <v>3889.572934594677</v>
      </c>
      <c r="P30" s="539" t="str">
        <f t="shared" si="3"/>
        <v>Dec</v>
      </c>
      <c r="Q30" s="447">
        <f t="shared" si="4"/>
        <v>2020</v>
      </c>
      <c r="R30" s="447">
        <f t="shared" si="31"/>
        <v>22</v>
      </c>
      <c r="S30" s="496">
        <f>IF(OR(التوصية!$B$248='بيانات للادخال'!$F$2,التوصية!$B$248='بيانات للادخال'!$F$3),T30*(1+PNAVAT),IF(التوصية!$B$248='بيانات للادخال'!$F$4,(T30-W30)+W30*(1+PNAVAT)))</f>
        <v>199.36258585858587</v>
      </c>
      <c r="T30" s="9">
        <f t="shared" si="19"/>
        <v>171.86429815395334</v>
      </c>
      <c r="U30" s="9">
        <f t="shared" si="5"/>
        <v>0</v>
      </c>
      <c r="V30" s="9">
        <f t="shared" si="6"/>
        <v>171.86429815395334</v>
      </c>
      <c r="W30" s="9">
        <f t="shared" si="20"/>
        <v>42.451855776773073</v>
      </c>
      <c r="X30" s="9">
        <f t="shared" si="32"/>
        <v>3889.572934594677</v>
      </c>
      <c r="Y30" s="538">
        <f t="shared" si="33"/>
        <v>129.41244237718027</v>
      </c>
      <c r="Z30" s="494">
        <f t="shared" si="7"/>
        <v>2020</v>
      </c>
      <c r="AA30" s="537" t="str">
        <f t="shared" si="7"/>
        <v>Dec</v>
      </c>
      <c r="AB30" s="447">
        <f t="shared" si="34"/>
        <v>22</v>
      </c>
      <c r="AC30" s="496">
        <f>IF(OR(التوصية!$B$248='بيانات للادخال'!$F$2,التوصية!$B$248='بيانات للادخال'!$F$3),AD30*(1+PNAVAT),IF(التوصية!$B$248='بيانات للادخال'!$F$4,(AD30-AG30)+AG30*(1+PNAVAT)))</f>
        <v>199.36258585858587</v>
      </c>
      <c r="AD30" s="496">
        <f t="shared" si="8"/>
        <v>171.86429815395334</v>
      </c>
      <c r="AE30" s="9">
        <f t="shared" si="9"/>
        <v>0</v>
      </c>
      <c r="AF30" s="9">
        <f t="shared" si="10"/>
        <v>171.86429815395334</v>
      </c>
      <c r="AG30" s="9">
        <f t="shared" si="21"/>
        <v>42.451855776773073</v>
      </c>
      <c r="AH30" s="538">
        <f t="shared" si="35"/>
        <v>3889.572934594677</v>
      </c>
      <c r="AI30" s="549" t="str">
        <f t="shared" si="36"/>
        <v>normal</v>
      </c>
      <c r="AJ30" s="537" t="str">
        <f t="shared" si="37"/>
        <v>Oct</v>
      </c>
      <c r="AK30" s="447">
        <f t="shared" si="38"/>
        <v>2020</v>
      </c>
      <c r="AL30" s="447">
        <f t="shared" si="46"/>
        <v>20</v>
      </c>
      <c r="AM30" s="496">
        <f>IF(OR(التوصية!$B$248='بيانات للادخال'!$F$2,التوصية!$B$248='بيانات للادخال'!$F$3),AN30*(1+PNAVAT),IF(التوصية!$B$248='بيانات للادخال'!$F$4,(AN30-AQ30)+AQ30*(1+PNAVAT)))</f>
        <v>199.36258585858587</v>
      </c>
      <c r="AN30" s="496">
        <f t="shared" si="39"/>
        <v>171.86429815395334</v>
      </c>
      <c r="AO30" s="9">
        <f t="shared" si="40"/>
        <v>0</v>
      </c>
      <c r="AP30" s="9">
        <f t="shared" si="41"/>
        <v>171.86429815395334</v>
      </c>
      <c r="AQ30" s="9">
        <f t="shared" si="44"/>
        <v>45.143063975785743</v>
      </c>
      <c r="AR30" s="550">
        <f t="shared" si="45"/>
        <v>4147.0451458926518</v>
      </c>
      <c r="AS30" s="501" t="str">
        <f t="shared" si="0"/>
        <v>May</v>
      </c>
      <c r="AT30" s="495" t="str">
        <f t="shared" si="47"/>
        <v>normal</v>
      </c>
      <c r="AU30" s="539" t="str">
        <f t="shared" si="11"/>
        <v>Dec</v>
      </c>
      <c r="AV30" s="447">
        <f t="shared" si="12"/>
        <v>2020</v>
      </c>
      <c r="AW30" s="447" t="str">
        <f t="shared" si="22"/>
        <v>Dec 2020</v>
      </c>
      <c r="AX30" s="448">
        <f t="shared" si="42"/>
        <v>22</v>
      </c>
      <c r="AY30" s="496">
        <f>IF(OR(التوصية!$B$248='بيانات للادخال'!$F$2,التوصية!$B$248='بيانات للادخال'!$F$3),AZ30*(1+PNAVAT),IF(التوصية!$B$248='بيانات للادخال'!$F$4,(AZ30-BC30)+BC30*(1+PNAVAT)))</f>
        <v>239.23510303030307</v>
      </c>
      <c r="AZ30" s="496">
        <f t="shared" si="13"/>
        <v>206.23715778474403</v>
      </c>
      <c r="BA30" s="9">
        <f t="shared" si="14"/>
        <v>0</v>
      </c>
      <c r="BB30" s="9">
        <f t="shared" si="15"/>
        <v>206.23715778474403</v>
      </c>
      <c r="BC30" s="9">
        <f t="shared" si="23"/>
        <v>41.215143299692677</v>
      </c>
      <c r="BD30" s="9">
        <f t="shared" si="43"/>
        <v>165.02201448505136</v>
      </c>
      <c r="BE30" s="9">
        <f t="shared" si="24"/>
        <v>3565.6549576927268</v>
      </c>
      <c r="BF30" s="531">
        <f>IF($E$1='بيانات للادخال'!$M$2,IF(AND(OR(AX30=11+$Z$3,AX30=12+$Z$3,AX30=23+$Z$3,AX30=24+$Z$3,AX30=35+$Z$3,AX30=36+$Z$3,AX30=47+$Z$3,AX30=48+$Z$3,AX30=59+$Z$3,AX30=60+$Z$3),AX30&lt;=$G$3),$E$61/2,AY30),IF($E$1='بيانات للادخال'!$M$3,AC30))</f>
        <v>199.36258585858587</v>
      </c>
      <c r="BG30" s="547" t="str">
        <f t="shared" si="25"/>
        <v>Dec 2020</v>
      </c>
      <c r="BH30" s="541">
        <f t="shared" si="26"/>
        <v>239.23510303030307</v>
      </c>
      <c r="BI30" s="548">
        <f t="shared" si="27"/>
        <v>206.23715778474403</v>
      </c>
    </row>
    <row r="31" spans="1:61">
      <c r="A31" s="471" t="s">
        <v>276</v>
      </c>
      <c r="B31" s="554"/>
      <c r="D31" s="543" t="s">
        <v>351</v>
      </c>
      <c r="E31" s="551">
        <f>IF(E25="",0,IF(E25&lt;1001,935/E26+(E27*(1+PNAVAT)*0.0175),IF(E25&lt;1501,1035/E26+(E27*(1+PNAVAT)*0.0175),IF(E25&lt;2001,1340/E26+(E27*(1+PNAVAT)*0.0175),IF(E25&lt;10000,1690/E26+(E27*(1+PNAVAT)*0.0175)," ")))))</f>
        <v>0</v>
      </c>
      <c r="G31" s="536">
        <f t="shared" si="28"/>
        <v>2021</v>
      </c>
      <c r="H31" s="537" t="str">
        <f t="shared" si="16"/>
        <v>Jan</v>
      </c>
      <c r="I31" s="447">
        <f t="shared" si="29"/>
        <v>23</v>
      </c>
      <c r="J31" s="496">
        <f>IF(OR(التوصية!$B$248='بيانات للادخال'!$F$2,التوصية!$B$248='بيانات للادخال'!$F$3),K31*(1+PNAVAT),IF(التوصية!$B$248='بيانات للادخال'!$F$4,(K31-N31)+N31*(1+PNAVAT)))</f>
        <v>199.36258585858587</v>
      </c>
      <c r="K31" s="496">
        <f t="shared" si="17"/>
        <v>171.86429815395334</v>
      </c>
      <c r="L31" s="9">
        <f t="shared" si="1"/>
        <v>0</v>
      </c>
      <c r="M31" s="9">
        <f t="shared" si="2"/>
        <v>171.86429815395334</v>
      </c>
      <c r="N31" s="9">
        <f t="shared" si="18"/>
        <v>41.084894261810966</v>
      </c>
      <c r="O31" s="538">
        <f t="shared" si="30"/>
        <v>3758.7935307025346</v>
      </c>
      <c r="P31" s="539" t="str">
        <f t="shared" si="3"/>
        <v>Jan</v>
      </c>
      <c r="Q31" s="447">
        <f t="shared" si="4"/>
        <v>2021</v>
      </c>
      <c r="R31" s="447">
        <f t="shared" si="31"/>
        <v>23</v>
      </c>
      <c r="S31" s="496">
        <f>IF(OR(التوصية!$B$248='بيانات للادخال'!$F$2,التوصية!$B$248='بيانات للادخال'!$F$3),T31*(1+PNAVAT),IF(التوصية!$B$248='بيانات للادخال'!$F$4,(T31-W31)+W31*(1+PNAVAT)))</f>
        <v>199.36258585858587</v>
      </c>
      <c r="T31" s="9">
        <f t="shared" si="19"/>
        <v>171.86429815395334</v>
      </c>
      <c r="U31" s="9">
        <f t="shared" si="5"/>
        <v>0</v>
      </c>
      <c r="V31" s="9">
        <f t="shared" si="6"/>
        <v>171.86429815395334</v>
      </c>
      <c r="W31" s="9">
        <f t="shared" si="20"/>
        <v>41.084894261810966</v>
      </c>
      <c r="X31" s="9">
        <f t="shared" si="32"/>
        <v>3758.7935307025346</v>
      </c>
      <c r="Y31" s="538">
        <f t="shared" si="33"/>
        <v>130.77940389214237</v>
      </c>
      <c r="Z31" s="494">
        <f t="shared" si="7"/>
        <v>2021</v>
      </c>
      <c r="AA31" s="537" t="str">
        <f t="shared" si="7"/>
        <v>Jan</v>
      </c>
      <c r="AB31" s="447">
        <f t="shared" si="34"/>
        <v>23</v>
      </c>
      <c r="AC31" s="496">
        <f>IF(OR(التوصية!$B$248='بيانات للادخال'!$F$2,التوصية!$B$248='بيانات للادخال'!$F$3),AD31*(1+PNAVAT),IF(التوصية!$B$248='بيانات للادخال'!$F$4,(AD31-AG31)+AG31*(1+PNAVAT)))</f>
        <v>199.36258585858587</v>
      </c>
      <c r="AD31" s="496">
        <f t="shared" si="8"/>
        <v>171.86429815395334</v>
      </c>
      <c r="AE31" s="9">
        <f t="shared" si="9"/>
        <v>0</v>
      </c>
      <c r="AF31" s="9">
        <f t="shared" si="10"/>
        <v>171.86429815395334</v>
      </c>
      <c r="AG31" s="9">
        <f t="shared" si="21"/>
        <v>41.084894261810966</v>
      </c>
      <c r="AH31" s="538">
        <f t="shared" si="35"/>
        <v>3758.7935307025346</v>
      </c>
      <c r="AI31" s="549" t="str">
        <f t="shared" si="36"/>
        <v>normal</v>
      </c>
      <c r="AJ31" s="537" t="str">
        <f t="shared" si="37"/>
        <v>Nov</v>
      </c>
      <c r="AK31" s="447">
        <f t="shared" si="38"/>
        <v>2020</v>
      </c>
      <c r="AL31" s="447">
        <f t="shared" si="46"/>
        <v>21</v>
      </c>
      <c r="AM31" s="496">
        <f>IF(OR(التوصية!$B$248='بيانات للادخال'!$F$2,التوصية!$B$248='بيانات للادخال'!$F$3),AN31*(1+PNAVAT),IF(التوصية!$B$248='بيانات للادخال'!$F$4,(AN31-AQ31)+AQ31*(1+PNAVAT)))</f>
        <v>199.36258585858587</v>
      </c>
      <c r="AN31" s="496">
        <f t="shared" si="39"/>
        <v>171.86429815395334</v>
      </c>
      <c r="AO31" s="9">
        <f t="shared" si="40"/>
        <v>0</v>
      </c>
      <c r="AP31" s="9">
        <f t="shared" si="41"/>
        <v>171.86429815395334</v>
      </c>
      <c r="AQ31" s="9">
        <f t="shared" si="44"/>
        <v>43.80452923315886</v>
      </c>
      <c r="AR31" s="550">
        <f t="shared" si="45"/>
        <v>4018.9853769718575</v>
      </c>
      <c r="AS31" s="501" t="str">
        <f t="shared" si="0"/>
        <v>Jun</v>
      </c>
      <c r="AT31" s="495" t="str">
        <f t="shared" si="47"/>
        <v>normal</v>
      </c>
      <c r="AU31" s="539" t="str">
        <f t="shared" si="11"/>
        <v>Jan</v>
      </c>
      <c r="AV31" s="447">
        <f t="shared" si="12"/>
        <v>2021</v>
      </c>
      <c r="AW31" s="447" t="str">
        <f t="shared" si="22"/>
        <v>Jan 2021</v>
      </c>
      <c r="AX31" s="448">
        <f>AX30+1</f>
        <v>23</v>
      </c>
      <c r="AY31" s="496">
        <f>IF(OR(التوصية!$B$248='بيانات للادخال'!$F$2,التوصية!$B$248='بيانات للادخال'!$F$3),AZ31*(1+PNAVAT),IF(التوصية!$B$248='بيانات للادخال'!$F$4,(AZ31-BC31)+BC31*(1+PNAVAT)))</f>
        <v>0</v>
      </c>
      <c r="AZ31" s="496">
        <f t="shared" si="13"/>
        <v>0</v>
      </c>
      <c r="BA31" s="9">
        <f t="shared" si="14"/>
        <v>0</v>
      </c>
      <c r="BB31" s="9">
        <f t="shared" si="15"/>
        <v>0</v>
      </c>
      <c r="BC31" s="9">
        <f t="shared" si="23"/>
        <v>39.392040944455779</v>
      </c>
      <c r="BD31" s="9">
        <f t="shared" si="43"/>
        <v>-39.392040944455779</v>
      </c>
      <c r="BE31" s="9">
        <f>BE30-(BB31-BC31)</f>
        <v>3605.0469986371827</v>
      </c>
      <c r="BF31" s="531">
        <f>IF($E$1='بيانات للادخال'!$M$2,IF(AND(OR(AX31=11+$Z$3,AX31=12+$Z$3,AX31=23+$Z$3,AX31=24+$Z$3,AX31=35+$Z$3,AX31=36+$Z$3,AX31=47+$Z$3,AX31=48+$Z$3,AX31=59+$Z$3,AX31=60+$Z$3),AX31&lt;=$G$3),$E$61/2,AY31),IF($E$1='بيانات للادخال'!$M$3,AC31))</f>
        <v>199.36258585858587</v>
      </c>
      <c r="BG31" s="547" t="str">
        <f t="shared" si="25"/>
        <v>Jan 2021</v>
      </c>
      <c r="BH31" s="541">
        <f t="shared" si="26"/>
        <v>0</v>
      </c>
      <c r="BI31" s="548">
        <f t="shared" si="27"/>
        <v>0</v>
      </c>
    </row>
    <row r="32" spans="1:61">
      <c r="A32" s="471" t="s">
        <v>277</v>
      </c>
      <c r="B32" s="554"/>
      <c r="G32" s="536">
        <f t="shared" si="28"/>
        <v>2021</v>
      </c>
      <c r="H32" s="537" t="str">
        <f t="shared" si="16"/>
        <v>Feb</v>
      </c>
      <c r="I32" s="447">
        <f>I31+1</f>
        <v>24</v>
      </c>
      <c r="J32" s="496">
        <f>IF(OR(التوصية!$B$248='بيانات للادخال'!$F$2,التوصية!$B$248='بيانات للادخال'!$F$3),K32*(1+PNAVAT),IF(التوصية!$B$248='بيانات للادخال'!$F$4,(K32-N32)+N32*(1+PNAVAT)))</f>
        <v>199.36258585858587</v>
      </c>
      <c r="K32" s="496">
        <f t="shared" si="17"/>
        <v>171.86429815395334</v>
      </c>
      <c r="L32" s="9">
        <f t="shared" si="1"/>
        <v>0</v>
      </c>
      <c r="M32" s="9">
        <f t="shared" si="2"/>
        <v>171.86429815395334</v>
      </c>
      <c r="N32" s="9">
        <f t="shared" si="18"/>
        <v>39.703493765951315</v>
      </c>
      <c r="O32" s="538">
        <f>O31-(M32-N32)</f>
        <v>3626.6327263145326</v>
      </c>
      <c r="P32" s="539" t="str">
        <f t="shared" si="3"/>
        <v>Feb</v>
      </c>
      <c r="Q32" s="447">
        <f t="shared" si="4"/>
        <v>2021</v>
      </c>
      <c r="R32" s="447">
        <f t="shared" si="31"/>
        <v>24</v>
      </c>
      <c r="S32" s="496">
        <f>IF(OR(التوصية!$B$248='بيانات للادخال'!$F$2,التوصية!$B$248='بيانات للادخال'!$F$3),T32*(1+PNAVAT),IF(التوصية!$B$248='بيانات للادخال'!$F$4,(T32-W32)+W32*(1+PNAVAT)))</f>
        <v>199.36258585858587</v>
      </c>
      <c r="T32" s="9">
        <f t="shared" si="19"/>
        <v>171.86429815395334</v>
      </c>
      <c r="U32" s="9">
        <f t="shared" si="5"/>
        <v>0</v>
      </c>
      <c r="V32" s="9">
        <f t="shared" si="6"/>
        <v>171.86429815395334</v>
      </c>
      <c r="W32" s="9">
        <f t="shared" si="20"/>
        <v>39.703493765951315</v>
      </c>
      <c r="X32" s="9">
        <f t="shared" si="32"/>
        <v>3626.6327263145326</v>
      </c>
      <c r="Y32" s="538">
        <f t="shared" si="33"/>
        <v>132.16080438800202</v>
      </c>
      <c r="Z32" s="494">
        <f t="shared" si="7"/>
        <v>2021</v>
      </c>
      <c r="AA32" s="537" t="str">
        <f t="shared" si="7"/>
        <v>Feb</v>
      </c>
      <c r="AB32" s="447">
        <f>AB31+1</f>
        <v>24</v>
      </c>
      <c r="AC32" s="496">
        <f>IF(OR(التوصية!$B$248='بيانات للادخال'!$F$2,التوصية!$B$248='بيانات للادخال'!$F$3),AD32*(1+PNAVAT),IF(التوصية!$B$248='بيانات للادخال'!$F$4,(AD32-AG32)+AG32*(1+PNAVAT)))</f>
        <v>199.36258585858587</v>
      </c>
      <c r="AD32" s="496">
        <f t="shared" si="8"/>
        <v>171.86429815395334</v>
      </c>
      <c r="AE32" s="9">
        <f t="shared" si="9"/>
        <v>0</v>
      </c>
      <c r="AF32" s="9">
        <f t="shared" si="10"/>
        <v>171.86429815395334</v>
      </c>
      <c r="AG32" s="9">
        <f t="shared" si="21"/>
        <v>39.703493765951315</v>
      </c>
      <c r="AH32" s="538">
        <f>AH31-(AF32-AG32)</f>
        <v>3626.6327263145326</v>
      </c>
      <c r="AI32" s="549" t="str">
        <f t="shared" si="36"/>
        <v>normal</v>
      </c>
      <c r="AJ32" s="537" t="str">
        <f t="shared" si="37"/>
        <v>Dec</v>
      </c>
      <c r="AK32" s="447">
        <f t="shared" si="38"/>
        <v>2020</v>
      </c>
      <c r="AL32" s="447">
        <f t="shared" si="46"/>
        <v>22</v>
      </c>
      <c r="AM32" s="496">
        <f>IF(OR(التوصية!$B$248='بيانات للادخال'!$F$2,التوصية!$B$248='بيانات للادخال'!$F$3),AN32*(1+PNAVAT),IF(التوصية!$B$248='بيانات للادخال'!$F$4,(AN32-AQ32)+AQ32*(1+PNAVAT)))</f>
        <v>199.36258585858587</v>
      </c>
      <c r="AN32" s="496">
        <f t="shared" si="39"/>
        <v>171.86429815395334</v>
      </c>
      <c r="AO32" s="9">
        <f t="shared" si="40"/>
        <v>0</v>
      </c>
      <c r="AP32" s="9">
        <f t="shared" si="41"/>
        <v>171.86429815395334</v>
      </c>
      <c r="AQ32" s="9">
        <f t="shared" si="44"/>
        <v>42.451855776773073</v>
      </c>
      <c r="AR32" s="550">
        <f t="shared" si="45"/>
        <v>3889.572934594677</v>
      </c>
      <c r="AS32" s="501" t="str">
        <f t="shared" si="0"/>
        <v>Jul</v>
      </c>
      <c r="AT32" s="495" t="str">
        <f t="shared" si="47"/>
        <v>normal</v>
      </c>
      <c r="AU32" s="539" t="str">
        <f t="shared" si="11"/>
        <v>Feb</v>
      </c>
      <c r="AV32" s="447">
        <f t="shared" si="12"/>
        <v>2021</v>
      </c>
      <c r="AW32" s="447" t="str">
        <f t="shared" si="22"/>
        <v>Feb 2021</v>
      </c>
      <c r="AX32" s="448">
        <f t="shared" si="42"/>
        <v>24</v>
      </c>
      <c r="AY32" s="496">
        <f>IF(OR(التوصية!$B$248='بيانات للادخال'!$F$2,التوصية!$B$248='بيانات للادخال'!$F$3),AZ32*(1+PNAVAT),IF(التوصية!$B$248='بيانات للادخال'!$F$4,(AZ32-BC32)+BC32*(1+PNAVAT)))</f>
        <v>0</v>
      </c>
      <c r="AZ32" s="496">
        <f t="shared" si="13"/>
        <v>0</v>
      </c>
      <c r="BA32" s="9">
        <f t="shared" si="14"/>
        <v>0</v>
      </c>
      <c r="BB32" s="9">
        <f t="shared" si="15"/>
        <v>0</v>
      </c>
      <c r="BC32" s="9">
        <f t="shared" si="23"/>
        <v>39.827229684864299</v>
      </c>
      <c r="BD32" s="9">
        <f t="shared" si="43"/>
        <v>-39.827229684864299</v>
      </c>
      <c r="BE32" s="9">
        <f t="shared" ref="BE32:BE37" si="48">BE31-(BB32-BC32)</f>
        <v>3644.8742283220472</v>
      </c>
      <c r="BF32" s="531">
        <f>IF($E$1='بيانات للادخال'!$M$2,IF(AND(OR(AX32=11+$Z$3,AX32=12+$Z$3,AX32=23+$Z$3,AX32=24+$Z$3,AX32=35+$Z$3,AX32=36+$Z$3,AX32=47+$Z$3,AX32=48+$Z$3,AX32=59+$Z$3,AX32=60+$Z$3),AX32&lt;=$G$3),$E$61/2,AY32),IF($E$1='بيانات للادخال'!$M$3,AC32))</f>
        <v>199.36258585858587</v>
      </c>
      <c r="BG32" s="547" t="str">
        <f t="shared" si="25"/>
        <v>Feb 2021</v>
      </c>
      <c r="BH32" s="541">
        <f t="shared" si="26"/>
        <v>0</v>
      </c>
      <c r="BI32" s="548">
        <f t="shared" si="27"/>
        <v>0</v>
      </c>
    </row>
    <row r="33" spans="1:61" s="555" customFormat="1">
      <c r="A33" s="471" t="s">
        <v>278</v>
      </c>
      <c r="B33" s="554"/>
      <c r="D33" s="1405">
        <f>الأصل!A7</f>
        <v>0</v>
      </c>
      <c r="E33" s="1406"/>
      <c r="G33" s="536">
        <f t="shared" si="28"/>
        <v>2021</v>
      </c>
      <c r="H33" s="537" t="str">
        <f t="shared" si="16"/>
        <v>Mar</v>
      </c>
      <c r="I33" s="447">
        <f t="shared" si="29"/>
        <v>25</v>
      </c>
      <c r="J33" s="496">
        <f>IF(OR(التوصية!$B$248='بيانات للادخال'!$F$2,التوصية!$B$248='بيانات للادخال'!$F$3),K33*(1+PNAVAT),IF(التوصية!$B$248='بيانات للادخال'!$F$4,(K33-N33)+N33*(1+PNAVAT)))</f>
        <v>199.36258585858587</v>
      </c>
      <c r="K33" s="496">
        <f t="shared" si="17"/>
        <v>171.86429815395334</v>
      </c>
      <c r="L33" s="9">
        <f t="shared" si="1"/>
        <v>0</v>
      </c>
      <c r="M33" s="9">
        <f t="shared" si="2"/>
        <v>171.86429815395334</v>
      </c>
      <c r="N33" s="9">
        <f t="shared" si="18"/>
        <v>38.307501772706239</v>
      </c>
      <c r="O33" s="538">
        <f t="shared" si="30"/>
        <v>3493.0759299332854</v>
      </c>
      <c r="P33" s="539" t="str">
        <f t="shared" si="3"/>
        <v>Mar</v>
      </c>
      <c r="Q33" s="447">
        <f t="shared" si="4"/>
        <v>2021</v>
      </c>
      <c r="R33" s="447">
        <f t="shared" si="31"/>
        <v>25</v>
      </c>
      <c r="S33" s="496">
        <f>IF(OR(التوصية!$B$248='بيانات للادخال'!$F$2,التوصية!$B$248='بيانات للادخال'!$F$3),T33*(1+PNAVAT),IF(التوصية!$B$248='بيانات للادخال'!$F$4,(T33-W33)+W33*(1+PNAVAT)))</f>
        <v>199.36258585858587</v>
      </c>
      <c r="T33" s="9">
        <f t="shared" si="19"/>
        <v>171.86429815395334</v>
      </c>
      <c r="U33" s="9">
        <f t="shared" si="5"/>
        <v>0</v>
      </c>
      <c r="V33" s="9">
        <f t="shared" si="6"/>
        <v>171.86429815395334</v>
      </c>
      <c r="W33" s="9">
        <f t="shared" si="20"/>
        <v>38.307501772706239</v>
      </c>
      <c r="X33" s="9">
        <f t="shared" si="32"/>
        <v>3493.0759299332854</v>
      </c>
      <c r="Y33" s="538">
        <f t="shared" si="33"/>
        <v>133.5567963812471</v>
      </c>
      <c r="Z33" s="494">
        <f t="shared" si="7"/>
        <v>2021</v>
      </c>
      <c r="AA33" s="537" t="str">
        <f t="shared" si="7"/>
        <v>Mar</v>
      </c>
      <c r="AB33" s="447">
        <f t="shared" si="34"/>
        <v>25</v>
      </c>
      <c r="AC33" s="496">
        <f>IF(OR(التوصية!$B$248='بيانات للادخال'!$F$2,التوصية!$B$248='بيانات للادخال'!$F$3),AD33*(1+PNAVAT),IF(التوصية!$B$248='بيانات للادخال'!$F$4,(AD33-AG33)+AG33*(1+PNAVAT)))</f>
        <v>199.36258585858587</v>
      </c>
      <c r="AD33" s="496">
        <f t="shared" si="8"/>
        <v>171.86429815395334</v>
      </c>
      <c r="AE33" s="9">
        <f t="shared" si="9"/>
        <v>0</v>
      </c>
      <c r="AF33" s="9">
        <f t="shared" si="10"/>
        <v>171.86429815395334</v>
      </c>
      <c r="AG33" s="9">
        <f t="shared" si="21"/>
        <v>38.307501772706239</v>
      </c>
      <c r="AH33" s="538">
        <f t="shared" si="35"/>
        <v>3493.0759299332854</v>
      </c>
      <c r="AI33" s="549" t="str">
        <f t="shared" si="36"/>
        <v>normal</v>
      </c>
      <c r="AJ33" s="537" t="str">
        <f t="shared" si="37"/>
        <v>Jan</v>
      </c>
      <c r="AK33" s="447">
        <f t="shared" si="38"/>
        <v>2021</v>
      </c>
      <c r="AL33" s="447">
        <f>AL32+1</f>
        <v>23</v>
      </c>
      <c r="AM33" s="496">
        <f>IF(OR(التوصية!$B$248='بيانات للادخال'!$F$2,التوصية!$B$248='بيانات للادخال'!$F$3),AN33*(1+PNAVAT),IF(التوصية!$B$248='بيانات للادخال'!$F$4,(AN33-AQ33)+AQ33*(1+PNAVAT)))</f>
        <v>199.36258585858587</v>
      </c>
      <c r="AN33" s="496">
        <f t="shared" si="39"/>
        <v>171.86429815395334</v>
      </c>
      <c r="AO33" s="9">
        <f t="shared" si="40"/>
        <v>0</v>
      </c>
      <c r="AP33" s="9">
        <f t="shared" si="41"/>
        <v>171.86429815395334</v>
      </c>
      <c r="AQ33" s="9">
        <f t="shared" si="44"/>
        <v>41.084894261810966</v>
      </c>
      <c r="AR33" s="550">
        <f>AR32-(AP33-AQ33)</f>
        <v>3758.7935307025346</v>
      </c>
      <c r="AS33" s="501" t="str">
        <f t="shared" si="0"/>
        <v>Aug</v>
      </c>
      <c r="AT33" s="495" t="str">
        <f t="shared" si="47"/>
        <v>normal</v>
      </c>
      <c r="AU33" s="539" t="str">
        <f t="shared" si="11"/>
        <v>Mar</v>
      </c>
      <c r="AV33" s="447">
        <f t="shared" si="12"/>
        <v>2021</v>
      </c>
      <c r="AW33" s="447" t="str">
        <f t="shared" si="22"/>
        <v>Mar 2021</v>
      </c>
      <c r="AX33" s="448">
        <f t="shared" si="42"/>
        <v>25</v>
      </c>
      <c r="AY33" s="496">
        <f>IF(OR(التوصية!$B$248='بيانات للادخال'!$F$2,التوصية!$B$248='بيانات للادخال'!$F$3),AZ33*(1+PNAVAT),IF(التوصية!$B$248='بيانات للادخال'!$F$4,(AZ33-BC33)+BC33*(1+PNAVAT)))</f>
        <v>239.23510303030307</v>
      </c>
      <c r="AZ33" s="496">
        <f t="shared" si="13"/>
        <v>206.23715778474403</v>
      </c>
      <c r="BA33" s="9">
        <f t="shared" si="14"/>
        <v>0</v>
      </c>
      <c r="BB33" s="9">
        <f t="shared" si="15"/>
        <v>206.23715778474403</v>
      </c>
      <c r="BC33" s="9">
        <f t="shared" si="23"/>
        <v>40.26722622997746</v>
      </c>
      <c r="BD33" s="9">
        <f t="shared" si="43"/>
        <v>165.96993155476656</v>
      </c>
      <c r="BE33" s="9">
        <f t="shared" si="48"/>
        <v>3478.9042967672808</v>
      </c>
      <c r="BF33" s="531">
        <f>IF($E$1='بيانات للادخال'!$M$2,IF(AND(OR(AX33=11+$Z$3,AX33=12+$Z$3,AX33=23+$Z$3,AX33=24+$Z$3,AX33=35+$Z$3,AX33=36+$Z$3,AX33=47+$Z$3,AX33=48+$Z$3,AX33=59+$Z$3,AX33=60+$Z$3),AX33&lt;=$G$3),$E$61/2,AY33),IF($E$1='بيانات للادخال'!$M$3,AC33))</f>
        <v>199.36258585858587</v>
      </c>
      <c r="BG33" s="547" t="str">
        <f t="shared" si="25"/>
        <v>Mar 2021</v>
      </c>
      <c r="BH33" s="541">
        <f t="shared" si="26"/>
        <v>239.23510303030307</v>
      </c>
      <c r="BI33" s="548">
        <f t="shared" si="27"/>
        <v>206.23715778474403</v>
      </c>
    </row>
    <row r="34" spans="1:61">
      <c r="A34" s="471" t="s">
        <v>279</v>
      </c>
      <c r="B34" s="554"/>
      <c r="D34" s="1403" t="s">
        <v>308</v>
      </c>
      <c r="E34" s="1404"/>
      <c r="G34" s="536">
        <f t="shared" si="28"/>
        <v>2021</v>
      </c>
      <c r="H34" s="537" t="str">
        <f t="shared" si="16"/>
        <v>Apr</v>
      </c>
      <c r="I34" s="447">
        <f t="shared" si="29"/>
        <v>26</v>
      </c>
      <c r="J34" s="496">
        <f>IF(OR(التوصية!$B$248='بيانات للادخال'!$F$2,التوصية!$B$248='بيانات للادخال'!$F$3),K34*(1+PNAVAT),IF(التوصية!$B$248='بيانات للادخال'!$F$4,(K34-N34)+N34*(1+PNAVAT)))</f>
        <v>199.36258585858587</v>
      </c>
      <c r="K34" s="496">
        <f t="shared" si="17"/>
        <v>171.86429815395334</v>
      </c>
      <c r="L34" s="9">
        <f t="shared" si="1"/>
        <v>0</v>
      </c>
      <c r="M34" s="9">
        <f t="shared" si="2"/>
        <v>171.86429815395334</v>
      </c>
      <c r="N34" s="9">
        <f t="shared" si="18"/>
        <v>36.896764154582215</v>
      </c>
      <c r="O34" s="538">
        <f t="shared" si="30"/>
        <v>3358.1083959339144</v>
      </c>
      <c r="P34" s="539" t="str">
        <f t="shared" si="3"/>
        <v>Apr</v>
      </c>
      <c r="Q34" s="447">
        <f t="shared" si="4"/>
        <v>2021</v>
      </c>
      <c r="R34" s="447">
        <f t="shared" si="31"/>
        <v>26</v>
      </c>
      <c r="S34" s="496">
        <f>IF(OR(التوصية!$B$248='بيانات للادخال'!$F$2,التوصية!$B$248='بيانات للادخال'!$F$3),T34*(1+PNAVAT),IF(التوصية!$B$248='بيانات للادخال'!$F$4,(T34-W34)+W34*(1+PNAVAT)))</f>
        <v>199.36258585858587</v>
      </c>
      <c r="T34" s="9">
        <f t="shared" si="19"/>
        <v>171.86429815395334</v>
      </c>
      <c r="U34" s="9">
        <f t="shared" si="5"/>
        <v>0</v>
      </c>
      <c r="V34" s="9">
        <f t="shared" si="6"/>
        <v>171.86429815395334</v>
      </c>
      <c r="W34" s="9">
        <f t="shared" si="20"/>
        <v>36.896764154582215</v>
      </c>
      <c r="X34" s="9">
        <f t="shared" si="32"/>
        <v>3358.1083959339144</v>
      </c>
      <c r="Y34" s="538">
        <f t="shared" si="33"/>
        <v>134.96753399937114</v>
      </c>
      <c r="Z34" s="494">
        <f t="shared" si="7"/>
        <v>2021</v>
      </c>
      <c r="AA34" s="537" t="str">
        <f t="shared" si="7"/>
        <v>Apr</v>
      </c>
      <c r="AB34" s="447">
        <f t="shared" si="34"/>
        <v>26</v>
      </c>
      <c r="AC34" s="496">
        <f>IF(OR(التوصية!$B$248='بيانات للادخال'!$F$2,التوصية!$B$248='بيانات للادخال'!$F$3),AD34*(1+PNAVAT),IF(التوصية!$B$248='بيانات للادخال'!$F$4,(AD34-AG34)+AG34*(1+PNAVAT)))</f>
        <v>199.36258585858587</v>
      </c>
      <c r="AD34" s="496">
        <f t="shared" si="8"/>
        <v>171.86429815395334</v>
      </c>
      <c r="AE34" s="9">
        <f t="shared" si="9"/>
        <v>0</v>
      </c>
      <c r="AF34" s="9">
        <f t="shared" si="10"/>
        <v>171.86429815395334</v>
      </c>
      <c r="AG34" s="9">
        <f t="shared" si="21"/>
        <v>36.896764154582215</v>
      </c>
      <c r="AH34" s="538">
        <f t="shared" si="35"/>
        <v>3358.1083959339144</v>
      </c>
      <c r="AI34" s="549" t="str">
        <f t="shared" si="36"/>
        <v>normal</v>
      </c>
      <c r="AJ34" s="537" t="str">
        <f t="shared" si="37"/>
        <v>Feb</v>
      </c>
      <c r="AK34" s="447">
        <f t="shared" si="38"/>
        <v>2021</v>
      </c>
      <c r="AL34" s="447">
        <f t="shared" si="46"/>
        <v>24</v>
      </c>
      <c r="AM34" s="496">
        <f>IF(OR(التوصية!$B$248='بيانات للادخال'!$F$2,التوصية!$B$248='بيانات للادخال'!$F$3),AN34*(1+PNAVAT),IF(التوصية!$B$248='بيانات للادخال'!$F$4,(AN34-AQ34)+AQ34*(1+PNAVAT)))</f>
        <v>199.36258585858587</v>
      </c>
      <c r="AN34" s="496">
        <f t="shared" si="39"/>
        <v>171.86429815395334</v>
      </c>
      <c r="AO34" s="9">
        <f t="shared" si="40"/>
        <v>0</v>
      </c>
      <c r="AP34" s="9">
        <f t="shared" si="41"/>
        <v>171.86429815395334</v>
      </c>
      <c r="AQ34" s="9">
        <f t="shared" si="44"/>
        <v>39.703493765951315</v>
      </c>
      <c r="AR34" s="550">
        <f t="shared" si="45"/>
        <v>3626.6327263145326</v>
      </c>
      <c r="AS34" s="501" t="str">
        <f t="shared" si="0"/>
        <v>Sep</v>
      </c>
      <c r="AT34" s="495" t="str">
        <f t="shared" si="47"/>
        <v>normal</v>
      </c>
      <c r="AU34" s="539" t="str">
        <f t="shared" si="11"/>
        <v>Apr</v>
      </c>
      <c r="AV34" s="447">
        <f t="shared" si="12"/>
        <v>2021</v>
      </c>
      <c r="AW34" s="447" t="str">
        <f t="shared" si="22"/>
        <v>Apr 2021</v>
      </c>
      <c r="AX34" s="448">
        <f t="shared" si="42"/>
        <v>26</v>
      </c>
      <c r="AY34" s="496">
        <f>IF(OR(التوصية!$B$248='بيانات للادخال'!$F$2,التوصية!$B$248='بيانات للادخال'!$F$3),AZ34*(1+PNAVAT),IF(التوصية!$B$248='بيانات للادخال'!$F$4,(AZ34-BC34)+BC34*(1+PNAVAT)))</f>
        <v>239.23510303030307</v>
      </c>
      <c r="AZ34" s="496">
        <f t="shared" si="13"/>
        <v>206.23715778474403</v>
      </c>
      <c r="BA34" s="9">
        <f t="shared" si="14"/>
        <v>0</v>
      </c>
      <c r="BB34" s="9">
        <f t="shared" si="15"/>
        <v>206.23715778474403</v>
      </c>
      <c r="BC34" s="9">
        <f t="shared" si="23"/>
        <v>38.433651636550053</v>
      </c>
      <c r="BD34" s="9">
        <f t="shared" si="43"/>
        <v>167.80350614819397</v>
      </c>
      <c r="BE34" s="9">
        <f t="shared" si="48"/>
        <v>3311.1007906190866</v>
      </c>
      <c r="BF34" s="531">
        <f>IF($E$1='بيانات للادخال'!$M$2,IF(AND(OR(AX34=11+$Z$3,AX34=12+$Z$3,AX34=23+$Z$3,AX34=24+$Z$3,AX34=35+$Z$3,AX34=36+$Z$3,AX34=47+$Z$3,AX34=48+$Z$3,AX34=59+$Z$3,AX34=60+$Z$3),AX34&lt;=$G$3),$E$61/2,AY34),IF($E$1='بيانات للادخال'!$M$3,AC34))</f>
        <v>199.36258585858587</v>
      </c>
      <c r="BG34" s="547" t="str">
        <f t="shared" si="25"/>
        <v>Apr 2021</v>
      </c>
      <c r="BH34" s="541">
        <f t="shared" si="26"/>
        <v>239.23510303030307</v>
      </c>
      <c r="BI34" s="548">
        <f t="shared" si="27"/>
        <v>206.23715778474403</v>
      </c>
    </row>
    <row r="35" spans="1:61">
      <c r="A35" s="471" t="s">
        <v>280</v>
      </c>
      <c r="B35" s="554"/>
      <c r="D35" s="121" t="s">
        <v>317</v>
      </c>
      <c r="E35" s="997"/>
      <c r="G35" s="536">
        <f t="shared" si="28"/>
        <v>2021</v>
      </c>
      <c r="H35" s="537" t="str">
        <f t="shared" si="16"/>
        <v>May</v>
      </c>
      <c r="I35" s="447">
        <f t="shared" si="29"/>
        <v>27</v>
      </c>
      <c r="J35" s="496">
        <f>IF(OR(التوصية!$B$248='بيانات للادخال'!$F$2,التوصية!$B$248='بيانات للادخال'!$F$3),K35*(1+PNAVAT),IF(التوصية!$B$248='بيانات للادخال'!$F$4,(K35-N35)+N35*(1+PNAVAT)))</f>
        <v>199.36258585858587</v>
      </c>
      <c r="K35" s="496">
        <f t="shared" si="17"/>
        <v>171.86429815395334</v>
      </c>
      <c r="L35" s="9">
        <f t="shared" si="1"/>
        <v>0</v>
      </c>
      <c r="M35" s="9">
        <f t="shared" si="2"/>
        <v>171.86429815395334</v>
      </c>
      <c r="N35" s="9">
        <f t="shared" si="18"/>
        <v>35.471125156063373</v>
      </c>
      <c r="O35" s="538">
        <f t="shared" si="30"/>
        <v>3221.7152229360245</v>
      </c>
      <c r="P35" s="539" t="str">
        <f t="shared" si="3"/>
        <v>May</v>
      </c>
      <c r="Q35" s="447">
        <f t="shared" si="4"/>
        <v>2021</v>
      </c>
      <c r="R35" s="447">
        <f t="shared" si="31"/>
        <v>27</v>
      </c>
      <c r="S35" s="496">
        <f>IF(OR(التوصية!$B$248='بيانات للادخال'!$F$2,التوصية!$B$248='بيانات للادخال'!$F$3),T35*(1+PNAVAT),IF(التوصية!$B$248='بيانات للادخال'!$F$4,(T35-W35)+W35*(1+PNAVAT)))</f>
        <v>199.36258585858587</v>
      </c>
      <c r="T35" s="9">
        <f t="shared" si="19"/>
        <v>171.86429815395334</v>
      </c>
      <c r="U35" s="9">
        <f t="shared" si="5"/>
        <v>0</v>
      </c>
      <c r="V35" s="9">
        <f t="shared" si="6"/>
        <v>171.86429815395334</v>
      </c>
      <c r="W35" s="9">
        <f t="shared" si="20"/>
        <v>35.471125156063373</v>
      </c>
      <c r="X35" s="9">
        <f t="shared" si="32"/>
        <v>3221.7152229360245</v>
      </c>
      <c r="Y35" s="538">
        <f t="shared" si="33"/>
        <v>136.39317299788996</v>
      </c>
      <c r="Z35" s="494">
        <f t="shared" si="7"/>
        <v>2021</v>
      </c>
      <c r="AA35" s="537" t="str">
        <f t="shared" si="7"/>
        <v>May</v>
      </c>
      <c r="AB35" s="447">
        <f t="shared" si="34"/>
        <v>27</v>
      </c>
      <c r="AC35" s="496">
        <f>IF(OR(التوصية!$B$248='بيانات للادخال'!$F$2,التوصية!$B$248='بيانات للادخال'!$F$3),AD35*(1+PNAVAT),IF(التوصية!$B$248='بيانات للادخال'!$F$4,(AD35-AG35)+AG35*(1+PNAVAT)))</f>
        <v>199.36258585858587</v>
      </c>
      <c r="AD35" s="496">
        <f t="shared" si="8"/>
        <v>171.86429815395334</v>
      </c>
      <c r="AE35" s="9">
        <f t="shared" si="9"/>
        <v>0</v>
      </c>
      <c r="AF35" s="9">
        <f t="shared" si="10"/>
        <v>171.86429815395334</v>
      </c>
      <c r="AG35" s="9">
        <f t="shared" si="21"/>
        <v>35.471125156063373</v>
      </c>
      <c r="AH35" s="538">
        <f t="shared" si="35"/>
        <v>3221.7152229360245</v>
      </c>
      <c r="AI35" s="549" t="str">
        <f t="shared" si="36"/>
        <v>normal</v>
      </c>
      <c r="AJ35" s="537" t="str">
        <f t="shared" si="37"/>
        <v>Mar</v>
      </c>
      <c r="AK35" s="447">
        <f t="shared" si="38"/>
        <v>2021</v>
      </c>
      <c r="AL35" s="447">
        <f t="shared" si="46"/>
        <v>25</v>
      </c>
      <c r="AM35" s="496">
        <f>IF(OR(التوصية!$B$248='بيانات للادخال'!$F$2,التوصية!$B$248='بيانات للادخال'!$F$3),AN35*(1+PNAVAT),IF(التوصية!$B$248='بيانات للادخال'!$F$4,(AN35-AQ35)+AQ35*(1+PNAVAT)))</f>
        <v>199.36258585858587</v>
      </c>
      <c r="AN35" s="496">
        <f t="shared" si="39"/>
        <v>171.86429815395334</v>
      </c>
      <c r="AO35" s="9">
        <f t="shared" si="40"/>
        <v>0</v>
      </c>
      <c r="AP35" s="9">
        <f t="shared" si="41"/>
        <v>171.86429815395334</v>
      </c>
      <c r="AQ35" s="9">
        <f t="shared" si="44"/>
        <v>38.307501772706239</v>
      </c>
      <c r="AR35" s="550">
        <f t="shared" si="45"/>
        <v>3493.0759299332854</v>
      </c>
      <c r="AS35" s="501" t="str">
        <f t="shared" si="0"/>
        <v>Oct</v>
      </c>
      <c r="AT35" s="495" t="str">
        <f t="shared" si="47"/>
        <v>normal</v>
      </c>
      <c r="AU35" s="539" t="str">
        <f t="shared" si="11"/>
        <v>May</v>
      </c>
      <c r="AV35" s="447">
        <f t="shared" si="12"/>
        <v>2021</v>
      </c>
      <c r="AW35" s="447" t="str">
        <f t="shared" si="22"/>
        <v>May 2021</v>
      </c>
      <c r="AX35" s="448">
        <f t="shared" si="42"/>
        <v>27</v>
      </c>
      <c r="AY35" s="496">
        <f>IF(OR(التوصية!$B$248='بيانات للادخال'!$F$2,التوصية!$B$248='بيانات للادخال'!$F$3),AZ35*(1+PNAVAT),IF(التوصية!$B$248='بيانات للادخال'!$F$4,(AZ35-BC35)+BC35*(1+PNAVAT)))</f>
        <v>239.23510303030307</v>
      </c>
      <c r="AZ35" s="496">
        <f t="shared" si="13"/>
        <v>206.23715778474403</v>
      </c>
      <c r="BA35" s="9">
        <f t="shared" si="14"/>
        <v>0</v>
      </c>
      <c r="BB35" s="9">
        <f t="shared" si="15"/>
        <v>206.23715778474403</v>
      </c>
      <c r="BC35" s="9">
        <f t="shared" si="23"/>
        <v>36.579820387244261</v>
      </c>
      <c r="BD35" s="9">
        <f t="shared" si="43"/>
        <v>169.65733739749976</v>
      </c>
      <c r="BE35" s="9">
        <f t="shared" si="48"/>
        <v>3141.4434532215869</v>
      </c>
      <c r="BF35" s="531">
        <f>IF($E$1='بيانات للادخال'!$M$2,IF(AND(OR(AX35=11+$Z$3,AX35=12+$Z$3,AX35=23+$Z$3,AX35=24+$Z$3,AX35=35+$Z$3,AX35=36+$Z$3,AX35=47+$Z$3,AX35=48+$Z$3,AX35=59+$Z$3,AX35=60+$Z$3),AX35&lt;=$G$3),$E$61/2,AY35),IF($E$1='بيانات للادخال'!$M$3,AC35))</f>
        <v>199.36258585858587</v>
      </c>
      <c r="BG35" s="547" t="str">
        <f t="shared" si="25"/>
        <v>May 2021</v>
      </c>
      <c r="BH35" s="541">
        <f t="shared" si="26"/>
        <v>239.23510303030307</v>
      </c>
      <c r="BI35" s="548">
        <f t="shared" si="27"/>
        <v>206.23715778474403</v>
      </c>
    </row>
    <row r="36" spans="1:61">
      <c r="A36" s="471" t="s">
        <v>281</v>
      </c>
      <c r="B36" s="554"/>
      <c r="D36" s="121" t="s">
        <v>338</v>
      </c>
      <c r="E36" s="565">
        <f>usdrate</f>
        <v>3.3</v>
      </c>
      <c r="G36" s="536">
        <f t="shared" si="28"/>
        <v>2021</v>
      </c>
      <c r="H36" s="537" t="str">
        <f t="shared" si="16"/>
        <v>Jun</v>
      </c>
      <c r="I36" s="447">
        <f t="shared" si="29"/>
        <v>28</v>
      </c>
      <c r="J36" s="496">
        <f>IF(OR(التوصية!$B$248='بيانات للادخال'!$F$2,التوصية!$B$248='بيانات للادخال'!$F$3),K36*(1+PNAVAT),IF(التوصية!$B$248='بيانات للادخال'!$F$4,(K36-N36)+N36*(1+PNAVAT)))</f>
        <v>199.36258585858587</v>
      </c>
      <c r="K36" s="496">
        <f t="shared" si="17"/>
        <v>171.86429815395334</v>
      </c>
      <c r="L36" s="9">
        <f t="shared" si="1"/>
        <v>0</v>
      </c>
      <c r="M36" s="9">
        <f t="shared" si="2"/>
        <v>171.86429815395334</v>
      </c>
      <c r="N36" s="9">
        <f t="shared" si="18"/>
        <v>34.030427376414941</v>
      </c>
      <c r="O36" s="538">
        <f t="shared" si="30"/>
        <v>3083.8813521584862</v>
      </c>
      <c r="P36" s="539" t="str">
        <f t="shared" si="3"/>
        <v>Jun</v>
      </c>
      <c r="Q36" s="447">
        <f t="shared" si="4"/>
        <v>2021</v>
      </c>
      <c r="R36" s="447">
        <f>R35+1</f>
        <v>28</v>
      </c>
      <c r="S36" s="496">
        <f>IF(OR(التوصية!$B$248='بيانات للادخال'!$F$2,التوصية!$B$248='بيانات للادخال'!$F$3),T36*(1+PNAVAT),IF(التوصية!$B$248='بيانات للادخال'!$F$4,(T36-W36)+W36*(1+PNAVAT)))</f>
        <v>199.36258585858587</v>
      </c>
      <c r="T36" s="9">
        <f t="shared" si="19"/>
        <v>171.86429815395334</v>
      </c>
      <c r="U36" s="9">
        <f t="shared" si="5"/>
        <v>0</v>
      </c>
      <c r="V36" s="9">
        <f t="shared" si="6"/>
        <v>171.86429815395334</v>
      </c>
      <c r="W36" s="9">
        <f t="shared" si="20"/>
        <v>34.030427376414941</v>
      </c>
      <c r="X36" s="9">
        <f>X35-(V36-W36)</f>
        <v>3083.8813521584862</v>
      </c>
      <c r="Y36" s="538">
        <f t="shared" si="33"/>
        <v>137.83387077753841</v>
      </c>
      <c r="Z36" s="494">
        <f t="shared" si="7"/>
        <v>2021</v>
      </c>
      <c r="AA36" s="537" t="str">
        <f t="shared" si="7"/>
        <v>Jun</v>
      </c>
      <c r="AB36" s="447">
        <f t="shared" si="34"/>
        <v>28</v>
      </c>
      <c r="AC36" s="496">
        <f>IF(OR(التوصية!$B$248='بيانات للادخال'!$F$2,التوصية!$B$248='بيانات للادخال'!$F$3),AD36*(1+PNAVAT),IF(التوصية!$B$248='بيانات للادخال'!$F$4,(AD36-AG36)+AG36*(1+PNAVAT)))</f>
        <v>199.36258585858587</v>
      </c>
      <c r="AD36" s="496">
        <f t="shared" si="8"/>
        <v>171.86429815395334</v>
      </c>
      <c r="AE36" s="9">
        <f t="shared" si="9"/>
        <v>0</v>
      </c>
      <c r="AF36" s="9">
        <f t="shared" si="10"/>
        <v>171.86429815395334</v>
      </c>
      <c r="AG36" s="9">
        <f t="shared" si="21"/>
        <v>34.030427376414941</v>
      </c>
      <c r="AH36" s="538">
        <f t="shared" si="35"/>
        <v>3083.8813521584862</v>
      </c>
      <c r="AI36" s="549" t="str">
        <f t="shared" si="36"/>
        <v>normal</v>
      </c>
      <c r="AJ36" s="537" t="str">
        <f t="shared" si="37"/>
        <v>Apr</v>
      </c>
      <c r="AK36" s="447">
        <f t="shared" si="38"/>
        <v>2021</v>
      </c>
      <c r="AL36" s="447">
        <f t="shared" si="46"/>
        <v>26</v>
      </c>
      <c r="AM36" s="496">
        <f>IF(OR(التوصية!$B$248='بيانات للادخال'!$F$2,التوصية!$B$248='بيانات للادخال'!$F$3),AN36*(1+PNAVAT),IF(التوصية!$B$248='بيانات للادخال'!$F$4,(AN36-AQ36)+AQ36*(1+PNAVAT)))</f>
        <v>199.36258585858587</v>
      </c>
      <c r="AN36" s="496">
        <f t="shared" si="39"/>
        <v>171.86429815395334</v>
      </c>
      <c r="AO36" s="9">
        <f t="shared" si="40"/>
        <v>0</v>
      </c>
      <c r="AP36" s="9">
        <f t="shared" si="41"/>
        <v>171.86429815395334</v>
      </c>
      <c r="AQ36" s="9">
        <f t="shared" si="44"/>
        <v>36.896764154582215</v>
      </c>
      <c r="AR36" s="550">
        <f t="shared" si="45"/>
        <v>3358.1083959339144</v>
      </c>
      <c r="AS36" s="501" t="str">
        <f t="shared" si="0"/>
        <v>Nov</v>
      </c>
      <c r="AT36" s="495" t="str">
        <f t="shared" si="47"/>
        <v>normal</v>
      </c>
      <c r="AU36" s="539" t="str">
        <f t="shared" si="11"/>
        <v>Jun</v>
      </c>
      <c r="AV36" s="447">
        <f t="shared" si="12"/>
        <v>2021</v>
      </c>
      <c r="AW36" s="447" t="str">
        <f t="shared" si="22"/>
        <v>Jun 2021</v>
      </c>
      <c r="AX36" s="448">
        <f t="shared" si="42"/>
        <v>28</v>
      </c>
      <c r="AY36" s="496">
        <f>IF(OR(التوصية!$B$248='بيانات للادخال'!$F$2,التوصية!$B$248='بيانات للادخال'!$F$3),AZ36*(1+PNAVAT),IF(التوصية!$B$248='بيانات للادخال'!$F$4,(AZ36-BC36)+BC36*(1+PNAVAT)))</f>
        <v>239.23510303030307</v>
      </c>
      <c r="AZ36" s="496">
        <f t="shared" si="13"/>
        <v>206.23715778474403</v>
      </c>
      <c r="BA36" s="9">
        <f t="shared" si="14"/>
        <v>0</v>
      </c>
      <c r="BB36" s="9">
        <f t="shared" si="15"/>
        <v>206.23715778474403</v>
      </c>
      <c r="BC36" s="9">
        <f t="shared" si="23"/>
        <v>34.705508693996684</v>
      </c>
      <c r="BD36" s="9">
        <f t="shared" si="43"/>
        <v>171.53164909074735</v>
      </c>
      <c r="BE36" s="9">
        <f t="shared" si="48"/>
        <v>2969.9118041308393</v>
      </c>
      <c r="BF36" s="531">
        <f>IF($E$1='بيانات للادخال'!$M$2,IF(AND(OR(AX36=11+$Z$3,AX36=12+$Z$3,AX36=23+$Z$3,AX36=24+$Z$3,AX36=35+$Z$3,AX36=36+$Z$3,AX36=47+$Z$3,AX36=48+$Z$3,AX36=59+$Z$3,AX36=60+$Z$3),AX36&lt;=$G$3),$E$61/2,AY36),IF($E$1='بيانات للادخال'!$M$3,AC36))</f>
        <v>199.36258585858587</v>
      </c>
      <c r="BG36" s="547" t="str">
        <f t="shared" si="25"/>
        <v>Jun 2021</v>
      </c>
      <c r="BH36" s="541">
        <f t="shared" si="26"/>
        <v>239.23510303030307</v>
      </c>
      <c r="BI36" s="548">
        <f t="shared" si="27"/>
        <v>206.23715778474403</v>
      </c>
    </row>
    <row r="37" spans="1:61">
      <c r="A37" s="552" t="s">
        <v>282</v>
      </c>
      <c r="B37" s="554"/>
      <c r="D37" s="121" t="s">
        <v>339</v>
      </c>
      <c r="E37" s="566">
        <f>IF(OR(التوصية!$B$248='بيانات للادخال'!$F$2,التوصية!$B$248='بيانات للادخال'!$F$3),الأصل!$E$7/(1+PNAVAT),IF(التوصية!$B$248='بيانات للادخال'!$F$4,الأصل!$E$7))</f>
        <v>0</v>
      </c>
      <c r="G37" s="536">
        <f t="shared" si="28"/>
        <v>2021</v>
      </c>
      <c r="H37" s="537" t="str">
        <f t="shared" si="16"/>
        <v>Jul</v>
      </c>
      <c r="I37" s="447">
        <f t="shared" si="29"/>
        <v>29</v>
      </c>
      <c r="J37" s="496">
        <f>IF(OR(التوصية!$B$248='بيانات للادخال'!$F$2,التوصية!$B$248='بيانات للادخال'!$F$3),K37*(1+PNAVAT),IF(التوصية!$B$248='بيانات للادخال'!$F$4,(K37-N37)+N37*(1+PNAVAT)))</f>
        <v>199.36258585858587</v>
      </c>
      <c r="K37" s="496">
        <f t="shared" si="17"/>
        <v>171.86429815395334</v>
      </c>
      <c r="L37" s="9">
        <f t="shared" si="1"/>
        <v>0</v>
      </c>
      <c r="M37" s="9">
        <f t="shared" si="2"/>
        <v>171.86429815395334</v>
      </c>
      <c r="N37" s="9">
        <f t="shared" si="18"/>
        <v>32.574511752305071</v>
      </c>
      <c r="O37" s="538">
        <f t="shared" si="30"/>
        <v>2944.591565756838</v>
      </c>
      <c r="P37" s="539" t="str">
        <f t="shared" si="3"/>
        <v>Jul</v>
      </c>
      <c r="Q37" s="447">
        <f t="shared" si="4"/>
        <v>2021</v>
      </c>
      <c r="R37" s="447">
        <f t="shared" si="31"/>
        <v>29</v>
      </c>
      <c r="S37" s="496">
        <f>IF(OR(التوصية!$B$248='بيانات للادخال'!$F$2,التوصية!$B$248='بيانات للادخال'!$F$3),T37*(1+PNAVAT),IF(التوصية!$B$248='بيانات للادخال'!$F$4,(T37-W37)+W37*(1+PNAVAT)))</f>
        <v>199.36258585858587</v>
      </c>
      <c r="T37" s="9">
        <f t="shared" si="19"/>
        <v>171.86429815395334</v>
      </c>
      <c r="U37" s="9">
        <f t="shared" si="5"/>
        <v>0</v>
      </c>
      <c r="V37" s="9">
        <f t="shared" si="6"/>
        <v>171.86429815395334</v>
      </c>
      <c r="W37" s="9">
        <f t="shared" si="20"/>
        <v>32.574511752305071</v>
      </c>
      <c r="X37" s="9">
        <f t="shared" si="32"/>
        <v>2944.591565756838</v>
      </c>
      <c r="Y37" s="538">
        <f t="shared" si="33"/>
        <v>139.28978640164826</v>
      </c>
      <c r="Z37" s="494">
        <f t="shared" si="7"/>
        <v>2021</v>
      </c>
      <c r="AA37" s="537" t="str">
        <f t="shared" si="7"/>
        <v>Jul</v>
      </c>
      <c r="AB37" s="447">
        <f t="shared" si="34"/>
        <v>29</v>
      </c>
      <c r="AC37" s="496">
        <f>IF(OR(التوصية!$B$248='بيانات للادخال'!$F$2,التوصية!$B$248='بيانات للادخال'!$F$3),AD37*(1+PNAVAT),IF(التوصية!$B$248='بيانات للادخال'!$F$4,(AD37-AG37)+AG37*(1+PNAVAT)))</f>
        <v>199.36258585858587</v>
      </c>
      <c r="AD37" s="496">
        <f t="shared" si="8"/>
        <v>171.86429815395334</v>
      </c>
      <c r="AE37" s="9">
        <f t="shared" si="9"/>
        <v>0</v>
      </c>
      <c r="AF37" s="9">
        <f t="shared" si="10"/>
        <v>171.86429815395334</v>
      </c>
      <c r="AG37" s="9">
        <f t="shared" si="21"/>
        <v>32.574511752305071</v>
      </c>
      <c r="AH37" s="538">
        <f t="shared" si="35"/>
        <v>2944.591565756838</v>
      </c>
      <c r="AI37" s="549" t="str">
        <f t="shared" si="36"/>
        <v>normal</v>
      </c>
      <c r="AJ37" s="537" t="str">
        <f t="shared" si="37"/>
        <v>May</v>
      </c>
      <c r="AK37" s="447">
        <f t="shared" si="38"/>
        <v>2021</v>
      </c>
      <c r="AL37" s="447">
        <f t="shared" si="46"/>
        <v>27</v>
      </c>
      <c r="AM37" s="496">
        <f>IF(OR(التوصية!$B$248='بيانات للادخال'!$F$2,التوصية!$B$248='بيانات للادخال'!$F$3),AN37*(1+PNAVAT),IF(التوصية!$B$248='بيانات للادخال'!$F$4,(AN37-AQ37)+AQ37*(1+PNAVAT)))</f>
        <v>199.36258585858587</v>
      </c>
      <c r="AN37" s="496">
        <f t="shared" si="39"/>
        <v>171.86429815395334</v>
      </c>
      <c r="AO37" s="9">
        <f t="shared" si="40"/>
        <v>0</v>
      </c>
      <c r="AP37" s="9">
        <f t="shared" si="41"/>
        <v>171.86429815395334</v>
      </c>
      <c r="AQ37" s="9">
        <f t="shared" si="44"/>
        <v>35.471125156063373</v>
      </c>
      <c r="AR37" s="550">
        <f t="shared" si="45"/>
        <v>3221.7152229360245</v>
      </c>
      <c r="AS37" s="501" t="str">
        <f t="shared" si="0"/>
        <v>Dec</v>
      </c>
      <c r="AT37" s="495" t="str">
        <f t="shared" si="47"/>
        <v>normal</v>
      </c>
      <c r="AU37" s="539" t="str">
        <f t="shared" si="11"/>
        <v>Jul</v>
      </c>
      <c r="AV37" s="447">
        <f t="shared" si="12"/>
        <v>2021</v>
      </c>
      <c r="AW37" s="447" t="str">
        <f t="shared" si="22"/>
        <v>Jul 2021</v>
      </c>
      <c r="AX37" s="448">
        <f t="shared" si="42"/>
        <v>29</v>
      </c>
      <c r="AY37" s="496">
        <f>IF(OR(التوصية!$B$248='بيانات للادخال'!$F$2,التوصية!$B$248='بيانات للادخال'!$F$3),AZ37*(1+PNAVAT),IF(التوصية!$B$248='بيانات للادخال'!$F$4,(AZ37-BC37)+BC37*(1+PNAVAT)))</f>
        <v>239.23510303030307</v>
      </c>
      <c r="AZ37" s="496">
        <f t="shared" si="13"/>
        <v>206.23715778474403</v>
      </c>
      <c r="BA37" s="9">
        <f t="shared" si="14"/>
        <v>0</v>
      </c>
      <c r="BB37" s="9">
        <f t="shared" si="15"/>
        <v>206.23715778474403</v>
      </c>
      <c r="BC37" s="9">
        <f t="shared" si="23"/>
        <v>32.810490296415928</v>
      </c>
      <c r="BD37" s="9">
        <f t="shared" si="43"/>
        <v>173.42666748832809</v>
      </c>
      <c r="BE37" s="9">
        <f t="shared" si="48"/>
        <v>2796.4851366425114</v>
      </c>
      <c r="BF37" s="531">
        <f>IF($E$1='بيانات للادخال'!$M$2,IF(AND(OR(AX37=11+$Z$3,AX37=12+$Z$3,AX37=23+$Z$3,AX37=24+$Z$3,AX37=35+$Z$3,AX37=36+$Z$3,AX37=47+$Z$3,AX37=48+$Z$3,AX37=59+$Z$3,AX37=60+$Z$3),AX37&lt;=$G$3),$E$61/2,AY37),IF($E$1='بيانات للادخال'!$M$3,AC37))</f>
        <v>199.36258585858587</v>
      </c>
      <c r="BG37" s="547" t="str">
        <f t="shared" si="25"/>
        <v>Jul 2021</v>
      </c>
      <c r="BH37" s="541">
        <f t="shared" si="26"/>
        <v>239.23510303030307</v>
      </c>
      <c r="BI37" s="548">
        <f t="shared" si="27"/>
        <v>206.23715778474403</v>
      </c>
    </row>
    <row r="38" spans="1:61">
      <c r="A38" s="451" t="s">
        <v>271</v>
      </c>
      <c r="B38" s="554"/>
      <c r="D38" s="121" t="s">
        <v>340</v>
      </c>
      <c r="E38" s="566">
        <f>IF(OR(التوصية!$B$248='بيانات للادخال'!$F$2,التوصية!$B$248='بيانات للادخال'!$F$3),الأصل!$F$7/(1+PNAVAT),IF(التوصية!$B$248='بيانات للادخال'!$F$4,الأصل!$F$7))</f>
        <v>0</v>
      </c>
      <c r="G38" s="536">
        <f t="shared" si="28"/>
        <v>2021</v>
      </c>
      <c r="H38" s="537" t="str">
        <f t="shared" si="16"/>
        <v>Aug</v>
      </c>
      <c r="I38" s="447">
        <f t="shared" si="29"/>
        <v>30</v>
      </c>
      <c r="J38" s="496">
        <f>IF(OR(التوصية!$B$248='بيانات للادخال'!$F$2,التوصية!$B$248='بيانات للادخال'!$F$3),K38*(1+PNAVAT),IF(التوصية!$B$248='بيانات للادخال'!$F$4,(K38-N38)+N38*(1+PNAVAT)))</f>
        <v>199.36258585858587</v>
      </c>
      <c r="K38" s="496">
        <f t="shared" si="17"/>
        <v>171.86429815395334</v>
      </c>
      <c r="L38" s="9">
        <f t="shared" si="1"/>
        <v>0</v>
      </c>
      <c r="M38" s="9">
        <f t="shared" si="2"/>
        <v>171.86429815395334</v>
      </c>
      <c r="N38" s="9">
        <f t="shared" si="18"/>
        <v>31.103217540243122</v>
      </c>
      <c r="O38" s="538">
        <f t="shared" si="30"/>
        <v>2803.8304851431276</v>
      </c>
      <c r="P38" s="539" t="str">
        <f t="shared" si="3"/>
        <v>Aug</v>
      </c>
      <c r="Q38" s="447">
        <f t="shared" si="4"/>
        <v>2021</v>
      </c>
      <c r="R38" s="447">
        <f t="shared" si="31"/>
        <v>30</v>
      </c>
      <c r="S38" s="496">
        <f>IF(OR(التوصية!$B$248='بيانات للادخال'!$F$2,التوصية!$B$248='بيانات للادخال'!$F$3),T38*(1+PNAVAT),IF(التوصية!$B$248='بيانات للادخال'!$F$4,(T38-W38)+W38*(1+PNAVAT)))</f>
        <v>199.36258585858587</v>
      </c>
      <c r="T38" s="9">
        <f t="shared" si="19"/>
        <v>171.86429815395334</v>
      </c>
      <c r="U38" s="9">
        <f t="shared" si="5"/>
        <v>0</v>
      </c>
      <c r="V38" s="9">
        <f t="shared" si="6"/>
        <v>171.86429815395334</v>
      </c>
      <c r="W38" s="9">
        <f t="shared" si="20"/>
        <v>31.103217540243122</v>
      </c>
      <c r="X38" s="9">
        <f t="shared" si="32"/>
        <v>2803.8304851431276</v>
      </c>
      <c r="Y38" s="538">
        <f t="shared" si="33"/>
        <v>140.76108061371022</v>
      </c>
      <c r="Z38" s="494">
        <f t="shared" si="7"/>
        <v>2021</v>
      </c>
      <c r="AA38" s="537" t="str">
        <f t="shared" si="7"/>
        <v>Aug</v>
      </c>
      <c r="AB38" s="447">
        <f t="shared" si="34"/>
        <v>30</v>
      </c>
      <c r="AC38" s="496">
        <f>IF(OR(التوصية!$B$248='بيانات للادخال'!$F$2,التوصية!$B$248='بيانات للادخال'!$F$3),AD38*(1+PNAVAT),IF(التوصية!$B$248='بيانات للادخال'!$F$4,(AD38-AG38)+AG38*(1+PNAVAT)))</f>
        <v>199.36258585858587</v>
      </c>
      <c r="AD38" s="496">
        <f t="shared" si="8"/>
        <v>171.86429815395334</v>
      </c>
      <c r="AE38" s="9">
        <f t="shared" si="9"/>
        <v>0</v>
      </c>
      <c r="AF38" s="9">
        <f t="shared" si="10"/>
        <v>171.86429815395334</v>
      </c>
      <c r="AG38" s="9">
        <f t="shared" si="21"/>
        <v>31.103217540243122</v>
      </c>
      <c r="AH38" s="538">
        <f t="shared" si="35"/>
        <v>2803.8304851431276</v>
      </c>
      <c r="AI38" s="549" t="str">
        <f t="shared" si="36"/>
        <v>normal</v>
      </c>
      <c r="AJ38" s="537" t="str">
        <f t="shared" si="37"/>
        <v>Jun</v>
      </c>
      <c r="AK38" s="447">
        <f t="shared" si="38"/>
        <v>2021</v>
      </c>
      <c r="AL38" s="447">
        <f t="shared" si="46"/>
        <v>28</v>
      </c>
      <c r="AM38" s="496">
        <f>IF(OR(التوصية!$B$248='بيانات للادخال'!$F$2,التوصية!$B$248='بيانات للادخال'!$F$3),AN38*(1+PNAVAT),IF(التوصية!$B$248='بيانات للادخال'!$F$4,(AN38-AQ38)+AQ38*(1+PNAVAT)))</f>
        <v>199.36258585858587</v>
      </c>
      <c r="AN38" s="496">
        <f t="shared" si="39"/>
        <v>171.86429815395334</v>
      </c>
      <c r="AO38" s="9">
        <f t="shared" si="40"/>
        <v>0</v>
      </c>
      <c r="AP38" s="9">
        <f t="shared" si="41"/>
        <v>171.86429815395334</v>
      </c>
      <c r="AQ38" s="9">
        <f t="shared" si="44"/>
        <v>34.030427376414941</v>
      </c>
      <c r="AR38" s="550">
        <f t="shared" si="45"/>
        <v>3083.8813521584862</v>
      </c>
      <c r="AS38" s="501" t="str">
        <f t="shared" si="0"/>
        <v>Jan</v>
      </c>
      <c r="AT38" s="495" t="str">
        <f t="shared" si="47"/>
        <v>normal</v>
      </c>
      <c r="AU38" s="539" t="str">
        <f t="shared" si="11"/>
        <v>Aug</v>
      </c>
      <c r="AV38" s="447">
        <f t="shared" si="12"/>
        <v>2021</v>
      </c>
      <c r="AW38" s="447" t="str">
        <f t="shared" si="22"/>
        <v>Aug 2021</v>
      </c>
      <c r="AX38" s="448">
        <f>AX37+1</f>
        <v>30</v>
      </c>
      <c r="AY38" s="496">
        <f>IF(OR(التوصية!$B$248='بيانات للادخال'!$F$2,التوصية!$B$248='بيانات للادخال'!$F$3),AZ38*(1+PNAVAT),IF(التوصية!$B$248='بيانات للادخال'!$F$4,(AZ38-BC38)+BC38*(1+PNAVAT)))</f>
        <v>239.23510303030307</v>
      </c>
      <c r="AZ38" s="496">
        <f t="shared" si="13"/>
        <v>206.23715778474403</v>
      </c>
      <c r="BA38" s="9">
        <f t="shared" si="14"/>
        <v>0</v>
      </c>
      <c r="BB38" s="9">
        <f t="shared" si="15"/>
        <v>206.23715778474403</v>
      </c>
      <c r="BC38" s="9">
        <f t="shared" si="23"/>
        <v>30.894536434469241</v>
      </c>
      <c r="BD38" s="9">
        <f t="shared" si="43"/>
        <v>175.34262135027478</v>
      </c>
      <c r="BE38" s="9">
        <f>BE37-(BB38-BC38)</f>
        <v>2621.1425152922366</v>
      </c>
      <c r="BF38" s="531">
        <f>IF($E$1='بيانات للادخال'!$M$2,IF(AND(OR(AX38=11+$Z$3,AX38=12+$Z$3,AX38=23+$Z$3,AX38=24+$Z$3,AX38=35+$Z$3,AX38=36+$Z$3,AX38=47+$Z$3,AX38=48+$Z$3,AX38=59+$Z$3,AX38=60+$Z$3),AX38&lt;=$G$3),$E$61/2,AY38),IF($E$1='بيانات للادخال'!$M$3,AC38))</f>
        <v>199.36258585858587</v>
      </c>
      <c r="BG38" s="547" t="str">
        <f t="shared" si="25"/>
        <v>Aug 2021</v>
      </c>
      <c r="BH38" s="541">
        <f t="shared" si="26"/>
        <v>239.23510303030307</v>
      </c>
      <c r="BI38" s="548">
        <f t="shared" si="27"/>
        <v>206.23715778474403</v>
      </c>
    </row>
    <row r="39" spans="1:61">
      <c r="A39" s="471" t="s">
        <v>272</v>
      </c>
      <c r="B39" s="554"/>
      <c r="D39" s="121" t="s">
        <v>9</v>
      </c>
      <c r="E39" s="22">
        <f>E37-E38</f>
        <v>0</v>
      </c>
      <c r="G39" s="536">
        <f t="shared" si="28"/>
        <v>2021</v>
      </c>
      <c r="H39" s="537" t="str">
        <f t="shared" si="16"/>
        <v>Sep</v>
      </c>
      <c r="I39" s="447">
        <f>I38+1</f>
        <v>31</v>
      </c>
      <c r="J39" s="496">
        <f>IF(OR(التوصية!$B$248='بيانات للادخال'!$F$2,التوصية!$B$248='بيانات للادخال'!$F$3),K39*(1+PNAVAT),IF(التوصية!$B$248='بيانات للادخال'!$F$4,(K39-N39)+N39*(1+PNAVAT)))</f>
        <v>199.36258585858587</v>
      </c>
      <c r="K39" s="496">
        <f t="shared" si="17"/>
        <v>171.86429815395334</v>
      </c>
      <c r="L39" s="9">
        <f t="shared" si="1"/>
        <v>0</v>
      </c>
      <c r="M39" s="9">
        <f t="shared" si="2"/>
        <v>171.86429815395334</v>
      </c>
      <c r="N39" s="9">
        <f t="shared" si="18"/>
        <v>29.616382298832438</v>
      </c>
      <c r="O39" s="538">
        <f>O38-(M39-N39)</f>
        <v>2661.5825692880067</v>
      </c>
      <c r="P39" s="539" t="str">
        <f t="shared" si="3"/>
        <v>Sep</v>
      </c>
      <c r="Q39" s="447">
        <f t="shared" si="4"/>
        <v>2021</v>
      </c>
      <c r="R39" s="447">
        <f t="shared" si="31"/>
        <v>31</v>
      </c>
      <c r="S39" s="496">
        <f>IF(OR(التوصية!$B$248='بيانات للادخال'!$F$2,التوصية!$B$248='بيانات للادخال'!$F$3),T39*(1+PNAVAT),IF(التوصية!$B$248='بيانات للادخال'!$F$4,(T39-W39)+W39*(1+PNAVAT)))</f>
        <v>199.36258585858587</v>
      </c>
      <c r="T39" s="9">
        <f t="shared" si="19"/>
        <v>171.86429815395334</v>
      </c>
      <c r="U39" s="9">
        <f t="shared" si="5"/>
        <v>0</v>
      </c>
      <c r="V39" s="9">
        <f t="shared" si="6"/>
        <v>171.86429815395334</v>
      </c>
      <c r="W39" s="9">
        <f t="shared" si="20"/>
        <v>29.616382298832438</v>
      </c>
      <c r="X39" s="9">
        <f t="shared" si="32"/>
        <v>2661.5825692880067</v>
      </c>
      <c r="Y39" s="538">
        <f t="shared" si="33"/>
        <v>142.24791585512091</v>
      </c>
      <c r="Z39" s="494">
        <f t="shared" si="7"/>
        <v>2021</v>
      </c>
      <c r="AA39" s="537" t="str">
        <f t="shared" si="7"/>
        <v>Sep</v>
      </c>
      <c r="AB39" s="447">
        <f>AB38+1</f>
        <v>31</v>
      </c>
      <c r="AC39" s="496">
        <f>IF(OR(التوصية!$B$248='بيانات للادخال'!$F$2,التوصية!$B$248='بيانات للادخال'!$F$3),AD39*(1+PNAVAT),IF(التوصية!$B$248='بيانات للادخال'!$F$4,(AD39-AG39)+AG39*(1+PNAVAT)))</f>
        <v>199.36258585858587</v>
      </c>
      <c r="AD39" s="496">
        <f t="shared" si="8"/>
        <v>171.86429815395334</v>
      </c>
      <c r="AE39" s="9">
        <f t="shared" si="9"/>
        <v>0</v>
      </c>
      <c r="AF39" s="9">
        <f t="shared" si="10"/>
        <v>171.86429815395334</v>
      </c>
      <c r="AG39" s="9">
        <f t="shared" si="21"/>
        <v>29.616382298832438</v>
      </c>
      <c r="AH39" s="538">
        <f>AH38-(AF39-AG39)</f>
        <v>2661.5825692880067</v>
      </c>
      <c r="AI39" s="549" t="str">
        <f t="shared" si="36"/>
        <v>normal</v>
      </c>
      <c r="AJ39" s="537" t="str">
        <f t="shared" si="37"/>
        <v>Jul</v>
      </c>
      <c r="AK39" s="447">
        <f t="shared" si="38"/>
        <v>2021</v>
      </c>
      <c r="AL39" s="447">
        <f t="shared" si="46"/>
        <v>29</v>
      </c>
      <c r="AM39" s="496">
        <f>IF(OR(التوصية!$B$248='بيانات للادخال'!$F$2,التوصية!$B$248='بيانات للادخال'!$F$3),AN39*(1+PNAVAT),IF(التوصية!$B$248='بيانات للادخال'!$F$4,(AN39-AQ39)+AQ39*(1+PNAVAT)))</f>
        <v>199.36258585858587</v>
      </c>
      <c r="AN39" s="496">
        <f t="shared" si="39"/>
        <v>171.86429815395334</v>
      </c>
      <c r="AO39" s="9">
        <f t="shared" si="40"/>
        <v>0</v>
      </c>
      <c r="AP39" s="9">
        <f t="shared" si="41"/>
        <v>171.86429815395334</v>
      </c>
      <c r="AQ39" s="9">
        <f t="shared" si="44"/>
        <v>32.574511752305071</v>
      </c>
      <c r="AR39" s="550">
        <f t="shared" si="45"/>
        <v>2944.591565756838</v>
      </c>
      <c r="AS39" s="501" t="str">
        <f t="shared" si="0"/>
        <v>Feb</v>
      </c>
      <c r="AT39" s="495" t="str">
        <f t="shared" si="47"/>
        <v>normal</v>
      </c>
      <c r="AU39" s="539" t="str">
        <f t="shared" si="11"/>
        <v>Sep</v>
      </c>
      <c r="AV39" s="447">
        <f t="shared" si="12"/>
        <v>2021</v>
      </c>
      <c r="AW39" s="447" t="str">
        <f t="shared" si="22"/>
        <v>Sep 2021</v>
      </c>
      <c r="AX39" s="448">
        <f t="shared" si="42"/>
        <v>31</v>
      </c>
      <c r="AY39" s="496">
        <f>IF(OR(التوصية!$B$248='بيانات للادخال'!$F$2,التوصية!$B$248='بيانات للادخال'!$F$3),AZ39*(1+PNAVAT),IF(التوصية!$B$248='بيانات للادخال'!$F$4,(AZ39-BC39)+BC39*(1+PNAVAT)))</f>
        <v>239.23510303030307</v>
      </c>
      <c r="AZ39" s="496">
        <f t="shared" si="13"/>
        <v>206.23715778474403</v>
      </c>
      <c r="BA39" s="9">
        <f t="shared" si="14"/>
        <v>0</v>
      </c>
      <c r="BB39" s="9">
        <f t="shared" si="15"/>
        <v>206.23715778474403</v>
      </c>
      <c r="BC39" s="9">
        <f t="shared" si="23"/>
        <v>28.957415820867386</v>
      </c>
      <c r="BD39" s="9">
        <f t="shared" si="43"/>
        <v>177.27974196387663</v>
      </c>
      <c r="BE39" s="9">
        <f t="shared" ref="BE39:BE80" si="49">BE38-(BB39-BC39)</f>
        <v>2443.8627733283602</v>
      </c>
      <c r="BF39" s="531">
        <f>IF($E$1='بيانات للادخال'!$M$2,IF(AND(OR(AX39=11+$Z$3,AX39=12+$Z$3,AX39=23+$Z$3,AX39=24+$Z$3,AX39=35+$Z$3,AX39=36+$Z$3,AX39=47+$Z$3,AX39=48+$Z$3,AX39=59+$Z$3,AX39=60+$Z$3),AX39&lt;=$G$3),$E$61/2,AY39),IF($E$1='بيانات للادخال'!$M$3,AC39))</f>
        <v>199.36258585858587</v>
      </c>
      <c r="BG39" s="547" t="str">
        <f t="shared" si="25"/>
        <v>Sep 2021</v>
      </c>
      <c r="BH39" s="541">
        <f t="shared" si="26"/>
        <v>239.23510303030307</v>
      </c>
      <c r="BI39" s="548">
        <f t="shared" si="27"/>
        <v>206.23715778474403</v>
      </c>
    </row>
    <row r="40" spans="1:61">
      <c r="A40" s="471" t="s">
        <v>273</v>
      </c>
      <c r="B40" s="554"/>
      <c r="D40" s="543" t="s">
        <v>349</v>
      </c>
      <c r="E40" s="544" t="s">
        <v>350</v>
      </c>
      <c r="G40" s="536">
        <f t="shared" si="28"/>
        <v>2021</v>
      </c>
      <c r="H40" s="537" t="str">
        <f t="shared" si="16"/>
        <v>Oct</v>
      </c>
      <c r="I40" s="447">
        <f t="shared" si="29"/>
        <v>32</v>
      </c>
      <c r="J40" s="496">
        <f>IF(OR(التوصية!$B$248='بيانات للادخال'!$F$2,التوصية!$B$248='بيانات للادخال'!$F$3),K40*(1+PNAVAT),IF(التوصية!$B$248='بيانات للادخال'!$F$4,(K40-N40)+N40*(1+PNAVAT)))</f>
        <v>199.36258585858587</v>
      </c>
      <c r="K40" s="496">
        <f t="shared" si="17"/>
        <v>171.86429815395334</v>
      </c>
      <c r="L40" s="9">
        <f t="shared" ref="L40:L71" si="50">IF(I40=0,-$E$59,0)</f>
        <v>0</v>
      </c>
      <c r="M40" s="9">
        <f t="shared" si="2"/>
        <v>171.86429815395334</v>
      </c>
      <c r="N40" s="9">
        <f t="shared" si="18"/>
        <v>28.113841870835643</v>
      </c>
      <c r="O40" s="538">
        <f t="shared" si="30"/>
        <v>2517.8321130048889</v>
      </c>
      <c r="P40" s="539" t="str">
        <f t="shared" si="3"/>
        <v>Oct</v>
      </c>
      <c r="Q40" s="447">
        <f t="shared" si="4"/>
        <v>2021</v>
      </c>
      <c r="R40" s="447">
        <f t="shared" si="31"/>
        <v>32</v>
      </c>
      <c r="S40" s="496">
        <f>IF(OR(التوصية!$B$248='بيانات للادخال'!$F$2,التوصية!$B$248='بيانات للادخال'!$F$3),T40*(1+PNAVAT),IF(التوصية!$B$248='بيانات للادخال'!$F$4,(T40-W40)+W40*(1+PNAVAT)))</f>
        <v>199.36258585858587</v>
      </c>
      <c r="T40" s="9">
        <f t="shared" si="19"/>
        <v>171.86429815395334</v>
      </c>
      <c r="U40" s="9">
        <f t="shared" ref="U40:U71" si="51">IF(R40=0,-$E$59,0)</f>
        <v>0</v>
      </c>
      <c r="V40" s="9">
        <f t="shared" si="6"/>
        <v>171.86429815395334</v>
      </c>
      <c r="W40" s="9">
        <f t="shared" si="20"/>
        <v>28.113841870835643</v>
      </c>
      <c r="X40" s="9">
        <f t="shared" si="32"/>
        <v>2517.8321130048889</v>
      </c>
      <c r="Y40" s="538">
        <f t="shared" si="33"/>
        <v>143.7504562831177</v>
      </c>
      <c r="Z40" s="494">
        <f t="shared" ref="Z40:AA71" si="52">G40</f>
        <v>2021</v>
      </c>
      <c r="AA40" s="537" t="str">
        <f t="shared" si="52"/>
        <v>Oct</v>
      </c>
      <c r="AB40" s="447">
        <f t="shared" si="34"/>
        <v>32</v>
      </c>
      <c r="AC40" s="496">
        <f>IF(OR(التوصية!$B$248='بيانات للادخال'!$F$2,التوصية!$B$248='بيانات للادخال'!$F$3),AD40*(1+PNAVAT),IF(التوصية!$B$248='بيانات للادخال'!$F$4,(AD40-AG40)+AG40*(1+PNAVAT)))</f>
        <v>199.36258585858587</v>
      </c>
      <c r="AD40" s="496">
        <f t="shared" si="8"/>
        <v>171.86429815395334</v>
      </c>
      <c r="AE40" s="9">
        <f t="shared" ref="AE40:AE71" si="53">IF(AB40=0,-$E$59,0)</f>
        <v>0</v>
      </c>
      <c r="AF40" s="9">
        <f t="shared" si="10"/>
        <v>171.86429815395334</v>
      </c>
      <c r="AG40" s="9">
        <f t="shared" si="21"/>
        <v>28.113841870835643</v>
      </c>
      <c r="AH40" s="538">
        <f t="shared" si="35"/>
        <v>2517.8321130048889</v>
      </c>
      <c r="AI40" s="549" t="str">
        <f t="shared" si="36"/>
        <v>normal</v>
      </c>
      <c r="AJ40" s="537" t="str">
        <f t="shared" si="37"/>
        <v>Aug</v>
      </c>
      <c r="AK40" s="447">
        <f t="shared" si="38"/>
        <v>2021</v>
      </c>
      <c r="AL40" s="447">
        <f>AL39+1</f>
        <v>30</v>
      </c>
      <c r="AM40" s="496">
        <f>IF(OR(التوصية!$B$248='بيانات للادخال'!$F$2,التوصية!$B$248='بيانات للادخال'!$F$3),AN40*(1+PNAVAT),IF(التوصية!$B$248='بيانات للادخال'!$F$4,(AN40-AQ40)+AQ40*(1+PNAVAT)))</f>
        <v>199.36258585858587</v>
      </c>
      <c r="AN40" s="496">
        <f t="shared" si="39"/>
        <v>171.86429815395334</v>
      </c>
      <c r="AO40" s="9">
        <f t="shared" si="40"/>
        <v>0</v>
      </c>
      <c r="AP40" s="9">
        <f t="shared" si="41"/>
        <v>171.86429815395334</v>
      </c>
      <c r="AQ40" s="9">
        <f t="shared" si="44"/>
        <v>31.103217540243122</v>
      </c>
      <c r="AR40" s="550">
        <f>AR39-(AP40-AQ40)</f>
        <v>2803.8304851431276</v>
      </c>
      <c r="AS40" s="501" t="str">
        <f t="shared" si="0"/>
        <v>Mar</v>
      </c>
      <c r="AT40" s="495" t="str">
        <f t="shared" si="47"/>
        <v>normal</v>
      </c>
      <c r="AU40" s="539" t="str">
        <f t="shared" si="11"/>
        <v>Oct</v>
      </c>
      <c r="AV40" s="447">
        <f t="shared" si="12"/>
        <v>2021</v>
      </c>
      <c r="AW40" s="447" t="str">
        <f t="shared" si="22"/>
        <v>Oct 2021</v>
      </c>
      <c r="AX40" s="448">
        <f t="shared" si="42"/>
        <v>32</v>
      </c>
      <c r="AY40" s="496">
        <f>IF(OR(التوصية!$B$248='بيانات للادخال'!$F$2,التوصية!$B$248='بيانات للادخال'!$F$3),AZ40*(1+PNAVAT),IF(التوصية!$B$248='بيانات للادخال'!$F$4,(AZ40-BC40)+BC40*(1+PNAVAT)))</f>
        <v>239.23510303030307</v>
      </c>
      <c r="AZ40" s="496">
        <f t="shared" si="13"/>
        <v>206.23715778474403</v>
      </c>
      <c r="BA40" s="9">
        <f t="shared" ref="BA40:BA71" si="54">IF(AX40=0,-$E$59,0)</f>
        <v>0</v>
      </c>
      <c r="BB40" s="9">
        <f t="shared" si="15"/>
        <v>206.23715778474403</v>
      </c>
      <c r="BC40" s="9">
        <f t="shared" si="23"/>
        <v>26.998894613144468</v>
      </c>
      <c r="BD40" s="9">
        <f t="shared" si="43"/>
        <v>179.23826317159956</v>
      </c>
      <c r="BE40" s="9">
        <f t="shared" si="49"/>
        <v>2264.6245101567606</v>
      </c>
      <c r="BF40" s="531">
        <f>IF($E$1='بيانات للادخال'!$M$2,IF(AND(OR(AX40=11+$Z$3,AX40=12+$Z$3,AX40=23+$Z$3,AX40=24+$Z$3,AX40=35+$Z$3,AX40=36+$Z$3,AX40=47+$Z$3,AX40=48+$Z$3,AX40=59+$Z$3,AX40=60+$Z$3),AX40&lt;=$G$3),$E$61/2,AY40),IF($E$1='بيانات للادخال'!$M$3,AC40))</f>
        <v>199.36258585858587</v>
      </c>
      <c r="BG40" s="547" t="str">
        <f t="shared" si="25"/>
        <v>Oct 2021</v>
      </c>
      <c r="BH40" s="541">
        <f t="shared" si="26"/>
        <v>239.23510303030307</v>
      </c>
      <c r="BI40" s="548">
        <f t="shared" si="27"/>
        <v>206.23715778474403</v>
      </c>
    </row>
    <row r="41" spans="1:61">
      <c r="A41" s="471" t="s">
        <v>274</v>
      </c>
      <c r="B41" s="554"/>
      <c r="D41" s="543" t="s">
        <v>351</v>
      </c>
      <c r="E41" s="551">
        <f>IF(E35="",0,IF(E35&lt;1001,935/E36+(E37*(1+PNAVAT)*0.0175),IF(E35&lt;1501,1035/E36+(E37*(1+PNAVAT)*0.0175),IF(E35&lt;2001,1340/E36+(E37*(1+PNAVAT)*0.0175),IF(E35&lt;10000,1690/E36+(E37*(1+PNAVAT)*0.0175)," ")))))</f>
        <v>0</v>
      </c>
      <c r="G41" s="536">
        <f t="shared" si="28"/>
        <v>2021</v>
      </c>
      <c r="H41" s="537" t="str">
        <f t="shared" si="16"/>
        <v>Nov</v>
      </c>
      <c r="I41" s="447">
        <f t="shared" si="29"/>
        <v>33</v>
      </c>
      <c r="J41" s="496">
        <f>IF(OR(التوصية!$B$248='بيانات للادخال'!$F$2,التوصية!$B$248='بيانات للادخال'!$F$3),K41*(1+PNAVAT),IF(التوصية!$B$248='بيانات للادخال'!$F$4,(K41-N41)+N41*(1+PNAVAT)))</f>
        <v>199.36258585858587</v>
      </c>
      <c r="K41" s="496">
        <f t="shared" si="17"/>
        <v>171.86429815395334</v>
      </c>
      <c r="L41" s="9">
        <f t="shared" si="50"/>
        <v>0</v>
      </c>
      <c r="M41" s="9">
        <f t="shared" si="2"/>
        <v>171.86429815395334</v>
      </c>
      <c r="N41" s="9">
        <f t="shared" si="18"/>
        <v>26.595430365050518</v>
      </c>
      <c r="O41" s="538">
        <f t="shared" si="30"/>
        <v>2372.5632452159862</v>
      </c>
      <c r="P41" s="539" t="str">
        <f t="shared" si="3"/>
        <v>Nov</v>
      </c>
      <c r="Q41" s="447">
        <f t="shared" si="4"/>
        <v>2021</v>
      </c>
      <c r="R41" s="447">
        <f t="shared" si="31"/>
        <v>33</v>
      </c>
      <c r="S41" s="496">
        <f>IF(OR(التوصية!$B$248='بيانات للادخال'!$F$2,التوصية!$B$248='بيانات للادخال'!$F$3),T41*(1+PNAVAT),IF(التوصية!$B$248='بيانات للادخال'!$F$4,(T41-W41)+W41*(1+PNAVAT)))</f>
        <v>199.36258585858587</v>
      </c>
      <c r="T41" s="9">
        <f t="shared" si="19"/>
        <v>171.86429815395334</v>
      </c>
      <c r="U41" s="9">
        <f t="shared" si="51"/>
        <v>0</v>
      </c>
      <c r="V41" s="9">
        <f t="shared" si="6"/>
        <v>171.86429815395334</v>
      </c>
      <c r="W41" s="9">
        <f t="shared" si="20"/>
        <v>26.595430365050518</v>
      </c>
      <c r="X41" s="9">
        <f t="shared" si="32"/>
        <v>2372.5632452159862</v>
      </c>
      <c r="Y41" s="538">
        <f t="shared" si="33"/>
        <v>145.26886778890281</v>
      </c>
      <c r="Z41" s="494">
        <f t="shared" si="52"/>
        <v>2021</v>
      </c>
      <c r="AA41" s="537" t="str">
        <f t="shared" si="52"/>
        <v>Nov</v>
      </c>
      <c r="AB41" s="447">
        <f t="shared" si="34"/>
        <v>33</v>
      </c>
      <c r="AC41" s="496">
        <f>IF(OR(التوصية!$B$248='بيانات للادخال'!$F$2,التوصية!$B$248='بيانات للادخال'!$F$3),AD41*(1+PNAVAT),IF(التوصية!$B$248='بيانات للادخال'!$F$4,(AD41-AG41)+AG41*(1+PNAVAT)))</f>
        <v>199.36258585858587</v>
      </c>
      <c r="AD41" s="496">
        <f t="shared" si="8"/>
        <v>171.86429815395334</v>
      </c>
      <c r="AE41" s="9">
        <f t="shared" si="53"/>
        <v>0</v>
      </c>
      <c r="AF41" s="9">
        <f t="shared" si="10"/>
        <v>171.86429815395334</v>
      </c>
      <c r="AG41" s="9">
        <f t="shared" si="21"/>
        <v>26.595430365050518</v>
      </c>
      <c r="AH41" s="538">
        <f t="shared" si="35"/>
        <v>2372.5632452159862</v>
      </c>
      <c r="AI41" s="549" t="str">
        <f t="shared" si="36"/>
        <v>normal</v>
      </c>
      <c r="AJ41" s="537" t="str">
        <f t="shared" si="37"/>
        <v>Sep</v>
      </c>
      <c r="AK41" s="447">
        <f t="shared" si="38"/>
        <v>2021</v>
      </c>
      <c r="AL41" s="447">
        <f t="shared" si="46"/>
        <v>31</v>
      </c>
      <c r="AM41" s="496">
        <f>IF(OR(التوصية!$B$248='بيانات للادخال'!$F$2,التوصية!$B$248='بيانات للادخال'!$F$3),AN41*(1+PNAVAT),IF(التوصية!$B$248='بيانات للادخال'!$F$4,(AN41-AQ41)+AQ41*(1+PNAVAT)))</f>
        <v>199.36258585858587</v>
      </c>
      <c r="AN41" s="496">
        <f t="shared" si="39"/>
        <v>171.86429815395334</v>
      </c>
      <c r="AO41" s="9">
        <f t="shared" si="40"/>
        <v>0</v>
      </c>
      <c r="AP41" s="9">
        <f t="shared" si="41"/>
        <v>171.86429815395334</v>
      </c>
      <c r="AQ41" s="9">
        <f t="shared" si="44"/>
        <v>29.616382298832438</v>
      </c>
      <c r="AR41" s="550">
        <f t="shared" si="45"/>
        <v>2661.5825692880067</v>
      </c>
      <c r="AS41" s="501" t="str">
        <f t="shared" si="0"/>
        <v>Apr</v>
      </c>
      <c r="AT41" s="495" t="str">
        <f t="shared" si="47"/>
        <v>normal</v>
      </c>
      <c r="AU41" s="539" t="str">
        <f t="shared" si="11"/>
        <v>Nov</v>
      </c>
      <c r="AV41" s="447">
        <f t="shared" si="12"/>
        <v>2021</v>
      </c>
      <c r="AW41" s="447" t="str">
        <f t="shared" si="22"/>
        <v>Nov 2021</v>
      </c>
      <c r="AX41" s="448">
        <f t="shared" si="42"/>
        <v>33</v>
      </c>
      <c r="AY41" s="496">
        <f>IF(OR(التوصية!$B$248='بيانات للادخال'!$F$2,التوصية!$B$248='بيانات للادخال'!$F$3),AZ41*(1+PNAVAT),IF(التوصية!$B$248='بيانات للادخال'!$F$4,(AZ41-BC41)+BC41*(1+PNAVAT)))</f>
        <v>239.23510303030307</v>
      </c>
      <c r="AZ41" s="496">
        <f t="shared" si="13"/>
        <v>206.23715778474403</v>
      </c>
      <c r="BA41" s="9">
        <f t="shared" si="54"/>
        <v>0</v>
      </c>
      <c r="BB41" s="9">
        <f t="shared" si="15"/>
        <v>206.23715778474403</v>
      </c>
      <c r="BC41" s="9">
        <f t="shared" si="23"/>
        <v>25.018736385429253</v>
      </c>
      <c r="BD41" s="9">
        <f t="shared" si="43"/>
        <v>181.21842139931476</v>
      </c>
      <c r="BE41" s="9">
        <f t="shared" si="49"/>
        <v>2083.406088757446</v>
      </c>
      <c r="BF41" s="531">
        <f>IF($E$1='بيانات للادخال'!$M$2,IF(AND(OR(AX41=11+$Z$3,AX41=12+$Z$3,AX41=23+$Z$3,AX41=24+$Z$3,AX41=35+$Z$3,AX41=36+$Z$3,AX41=47+$Z$3,AX41=48+$Z$3,AX41=59+$Z$3,AX41=60+$Z$3),AX41&lt;=$G$3),$E$61/2,AY41),IF($E$1='بيانات للادخال'!$M$3,AC41))</f>
        <v>199.36258585858587</v>
      </c>
      <c r="BG41" s="547" t="str">
        <f t="shared" si="25"/>
        <v>Nov 2021</v>
      </c>
      <c r="BH41" s="541">
        <f t="shared" ref="BH41:BH72" si="55">IF(OR(AX41&lt;=$Z$3,AX41=11+$Z$3,AX41=12+$Z$3,AX41=23+$Z$3,AX41=24+$Z$3,AX41=35+$Z$3,AX41=36+$Z$3,AX41=47+$Z$3,AX41=48+$Z$3,AX41=59+$Z$3,AX41=60+$Z$3),0,IF(AX41&lt;=$G$3,$BA$3*(1+PNAVAT),0))</f>
        <v>239.23510303030307</v>
      </c>
      <c r="BI41" s="548">
        <f t="shared" ref="BI41:BI72" si="56">BH41/(1+PNAVAT)</f>
        <v>206.23715778474403</v>
      </c>
    </row>
    <row r="42" spans="1:61">
      <c r="A42" s="471" t="s">
        <v>275</v>
      </c>
      <c r="B42" s="554"/>
      <c r="G42" s="536">
        <f t="shared" si="28"/>
        <v>2021</v>
      </c>
      <c r="H42" s="537" t="str">
        <f t="shared" si="16"/>
        <v>Dec</v>
      </c>
      <c r="I42" s="447">
        <f t="shared" si="29"/>
        <v>34</v>
      </c>
      <c r="J42" s="496">
        <f>IF(OR(التوصية!$B$248='بيانات للادخال'!$F$2,التوصية!$B$248='بيانات للادخال'!$F$3),K42*(1+PNAVAT),IF(التوصية!$B$248='بيانات للادخال'!$F$4,(K42-N42)+N42*(1+PNAVAT)))</f>
        <v>199.36258585858587</v>
      </c>
      <c r="K42" s="496">
        <f t="shared" si="17"/>
        <v>171.86429815395334</v>
      </c>
      <c r="L42" s="9">
        <f t="shared" si="50"/>
        <v>0</v>
      </c>
      <c r="M42" s="9">
        <f t="shared" si="2"/>
        <v>171.86429815395334</v>
      </c>
      <c r="N42" s="9">
        <f t="shared" si="18"/>
        <v>25.06098013799442</v>
      </c>
      <c r="O42" s="538">
        <f t="shared" si="30"/>
        <v>2225.7599272000271</v>
      </c>
      <c r="P42" s="539" t="str">
        <f t="shared" si="3"/>
        <v>Dec</v>
      </c>
      <c r="Q42" s="447">
        <f t="shared" si="4"/>
        <v>2021</v>
      </c>
      <c r="R42" s="447">
        <f t="shared" si="31"/>
        <v>34</v>
      </c>
      <c r="S42" s="496">
        <f>IF(OR(التوصية!$B$248='بيانات للادخال'!$F$2,التوصية!$B$248='بيانات للادخال'!$F$3),T42*(1+PNAVAT),IF(التوصية!$B$248='بيانات للادخال'!$F$4,(T42-W42)+W42*(1+PNAVAT)))</f>
        <v>199.36258585858587</v>
      </c>
      <c r="T42" s="9">
        <f t="shared" si="19"/>
        <v>171.86429815395334</v>
      </c>
      <c r="U42" s="9">
        <f t="shared" si="51"/>
        <v>0</v>
      </c>
      <c r="V42" s="9">
        <f t="shared" si="6"/>
        <v>171.86429815395334</v>
      </c>
      <c r="W42" s="9">
        <f t="shared" si="20"/>
        <v>25.06098013799442</v>
      </c>
      <c r="X42" s="9">
        <f t="shared" si="32"/>
        <v>2225.7599272000271</v>
      </c>
      <c r="Y42" s="538">
        <f t="shared" si="33"/>
        <v>146.80331801595892</v>
      </c>
      <c r="Z42" s="494">
        <f t="shared" si="52"/>
        <v>2021</v>
      </c>
      <c r="AA42" s="537" t="str">
        <f t="shared" si="52"/>
        <v>Dec</v>
      </c>
      <c r="AB42" s="447">
        <f t="shared" si="34"/>
        <v>34</v>
      </c>
      <c r="AC42" s="496">
        <f>IF(OR(التوصية!$B$248='بيانات للادخال'!$F$2,التوصية!$B$248='بيانات للادخال'!$F$3),AD42*(1+PNAVAT),IF(التوصية!$B$248='بيانات للادخال'!$F$4,(AD42-AG42)+AG42*(1+PNAVAT)))</f>
        <v>199.36258585858587</v>
      </c>
      <c r="AD42" s="496">
        <f t="shared" si="8"/>
        <v>171.86429815395334</v>
      </c>
      <c r="AE42" s="9">
        <f t="shared" si="53"/>
        <v>0</v>
      </c>
      <c r="AF42" s="9">
        <f t="shared" si="10"/>
        <v>171.86429815395334</v>
      </c>
      <c r="AG42" s="9">
        <f t="shared" si="21"/>
        <v>25.06098013799442</v>
      </c>
      <c r="AH42" s="538">
        <f t="shared" si="35"/>
        <v>2225.7599272000271</v>
      </c>
      <c r="AI42" s="549" t="str">
        <f t="shared" si="36"/>
        <v>normal</v>
      </c>
      <c r="AJ42" s="537" t="str">
        <f t="shared" si="37"/>
        <v>Oct</v>
      </c>
      <c r="AK42" s="447">
        <f t="shared" si="38"/>
        <v>2021</v>
      </c>
      <c r="AL42" s="447">
        <f t="shared" si="46"/>
        <v>32</v>
      </c>
      <c r="AM42" s="496">
        <f>IF(OR(التوصية!$B$248='بيانات للادخال'!$F$2,التوصية!$B$248='بيانات للادخال'!$F$3),AN42*(1+PNAVAT),IF(التوصية!$B$248='بيانات للادخال'!$F$4,(AN42-AQ42)+AQ42*(1+PNAVAT)))</f>
        <v>199.36258585858587</v>
      </c>
      <c r="AN42" s="496">
        <f t="shared" si="39"/>
        <v>171.86429815395334</v>
      </c>
      <c r="AO42" s="9">
        <f t="shared" ref="AO42:AO73" si="57">IF(AL42=0,-$E$59,0)</f>
        <v>0</v>
      </c>
      <c r="AP42" s="9">
        <f t="shared" si="41"/>
        <v>171.86429815395334</v>
      </c>
      <c r="AQ42" s="9">
        <f t="shared" si="44"/>
        <v>28.113841870835643</v>
      </c>
      <c r="AR42" s="550">
        <f t="shared" si="45"/>
        <v>2517.8321130048889</v>
      </c>
      <c r="AS42" s="501" t="str">
        <f t="shared" si="0"/>
        <v>May</v>
      </c>
      <c r="AT42" s="495" t="str">
        <f t="shared" si="47"/>
        <v>normal</v>
      </c>
      <c r="AU42" s="539" t="str">
        <f t="shared" si="11"/>
        <v>Dec</v>
      </c>
      <c r="AV42" s="447">
        <f t="shared" si="12"/>
        <v>2021</v>
      </c>
      <c r="AW42" s="447" t="str">
        <f t="shared" si="22"/>
        <v>Dec 2021</v>
      </c>
      <c r="AX42" s="448">
        <f t="shared" si="42"/>
        <v>34</v>
      </c>
      <c r="AY42" s="496">
        <f>IF(OR(التوصية!$B$248='بيانات للادخال'!$F$2,التوصية!$B$248='بيانات للادخال'!$F$3),AZ42*(1+PNAVAT),IF(التوصية!$B$248='بيانات للادخال'!$F$4,(AZ42-BC42)+BC42*(1+PNAVAT)))</f>
        <v>239.23510303030307</v>
      </c>
      <c r="AZ42" s="496">
        <f t="shared" si="13"/>
        <v>206.23715778474403</v>
      </c>
      <c r="BA42" s="9">
        <f t="shared" si="54"/>
        <v>0</v>
      </c>
      <c r="BB42" s="9">
        <f t="shared" si="15"/>
        <v>206.23715778474403</v>
      </c>
      <c r="BC42" s="9">
        <f t="shared" si="23"/>
        <v>23.016702099904702</v>
      </c>
      <c r="BD42" s="9">
        <f t="shared" si="43"/>
        <v>183.22045568483932</v>
      </c>
      <c r="BE42" s="9">
        <f t="shared" si="49"/>
        <v>1900.1856330726066</v>
      </c>
      <c r="BF42" s="531">
        <f>IF($E$1='بيانات للادخال'!$M$2,IF(AND(OR(AX42=11+$Z$3,AX42=12+$Z$3,AX42=23+$Z$3,AX42=24+$Z$3,AX42=35+$Z$3,AX42=36+$Z$3,AX42=47+$Z$3,AX42=48+$Z$3,AX42=59+$Z$3,AX42=60+$Z$3),AX42&lt;=$G$3),$E$61/2,AY42),IF($E$1='بيانات للادخال'!$M$3,AC42))</f>
        <v>199.36258585858587</v>
      </c>
      <c r="BG42" s="547" t="str">
        <f t="shared" si="25"/>
        <v>Dec 2021</v>
      </c>
      <c r="BH42" s="541">
        <f t="shared" si="55"/>
        <v>239.23510303030307</v>
      </c>
      <c r="BI42" s="548">
        <f t="shared" si="56"/>
        <v>206.23715778474403</v>
      </c>
    </row>
    <row r="43" spans="1:61">
      <c r="A43" s="471" t="s">
        <v>276</v>
      </c>
      <c r="B43" s="554"/>
      <c r="D43" s="1405">
        <f>الأصل!A8</f>
        <v>0</v>
      </c>
      <c r="E43" s="1406"/>
      <c r="G43" s="536">
        <f t="shared" si="28"/>
        <v>2022</v>
      </c>
      <c r="H43" s="537" t="str">
        <f t="shared" si="16"/>
        <v>Jan</v>
      </c>
      <c r="I43" s="447">
        <f t="shared" si="29"/>
        <v>35</v>
      </c>
      <c r="J43" s="496">
        <f>IF(OR(التوصية!$B$248='بيانات للادخال'!$F$2,التوصية!$B$248='بيانات للادخال'!$F$3),K43*(1+PNAVAT),IF(التوصية!$B$248='بيانات للادخال'!$F$4,(K43-N43)+N43*(1+PNAVAT)))</f>
        <v>199.36258585858587</v>
      </c>
      <c r="K43" s="496">
        <f t="shared" si="17"/>
        <v>171.86429815395334</v>
      </c>
      <c r="L43" s="9">
        <f t="shared" si="50"/>
        <v>0</v>
      </c>
      <c r="M43" s="9">
        <f t="shared" si="2"/>
        <v>171.86429815395334</v>
      </c>
      <c r="N43" s="9">
        <f t="shared" si="18"/>
        <v>23.510321775395237</v>
      </c>
      <c r="O43" s="538">
        <f t="shared" si="30"/>
        <v>2077.4059508214691</v>
      </c>
      <c r="P43" s="539" t="str">
        <f t="shared" si="3"/>
        <v>Jan</v>
      </c>
      <c r="Q43" s="447">
        <f t="shared" si="4"/>
        <v>2022</v>
      </c>
      <c r="R43" s="447">
        <f t="shared" si="31"/>
        <v>35</v>
      </c>
      <c r="S43" s="496">
        <f>IF(OR(التوصية!$B$248='بيانات للادخال'!$F$2,التوصية!$B$248='بيانات للادخال'!$F$3),T43*(1+PNAVAT),IF(التوصية!$B$248='بيانات للادخال'!$F$4,(T43-W43)+W43*(1+PNAVAT)))</f>
        <v>199.36258585858587</v>
      </c>
      <c r="T43" s="9">
        <f t="shared" si="19"/>
        <v>171.86429815395334</v>
      </c>
      <c r="U43" s="9">
        <f t="shared" si="51"/>
        <v>0</v>
      </c>
      <c r="V43" s="9">
        <f t="shared" si="6"/>
        <v>171.86429815395334</v>
      </c>
      <c r="W43" s="9">
        <f t="shared" si="20"/>
        <v>23.510321775395237</v>
      </c>
      <c r="X43" s="9">
        <f t="shared" si="32"/>
        <v>2077.4059508214691</v>
      </c>
      <c r="Y43" s="538">
        <f t="shared" si="33"/>
        <v>148.35397637855812</v>
      </c>
      <c r="Z43" s="494">
        <f t="shared" si="52"/>
        <v>2022</v>
      </c>
      <c r="AA43" s="537" t="str">
        <f t="shared" si="52"/>
        <v>Jan</v>
      </c>
      <c r="AB43" s="447">
        <f t="shared" si="34"/>
        <v>35</v>
      </c>
      <c r="AC43" s="496">
        <f>IF(OR(التوصية!$B$248='بيانات للادخال'!$F$2,التوصية!$B$248='بيانات للادخال'!$F$3),AD43*(1+PNAVAT),IF(التوصية!$B$248='بيانات للادخال'!$F$4,(AD43-AG43)+AG43*(1+PNAVAT)))</f>
        <v>199.36258585858587</v>
      </c>
      <c r="AD43" s="496">
        <f t="shared" si="8"/>
        <v>171.86429815395334</v>
      </c>
      <c r="AE43" s="9">
        <f t="shared" si="53"/>
        <v>0</v>
      </c>
      <c r="AF43" s="9">
        <f t="shared" si="10"/>
        <v>171.86429815395334</v>
      </c>
      <c r="AG43" s="9">
        <f t="shared" si="21"/>
        <v>23.510321775395237</v>
      </c>
      <c r="AH43" s="538">
        <f t="shared" si="35"/>
        <v>2077.4059508214691</v>
      </c>
      <c r="AI43" s="549" t="str">
        <f t="shared" si="36"/>
        <v>normal</v>
      </c>
      <c r="AJ43" s="537" t="str">
        <f t="shared" si="37"/>
        <v>Nov</v>
      </c>
      <c r="AK43" s="447">
        <f t="shared" si="38"/>
        <v>2021</v>
      </c>
      <c r="AL43" s="447">
        <f t="shared" si="46"/>
        <v>33</v>
      </c>
      <c r="AM43" s="496">
        <f>IF(OR(التوصية!$B$248='بيانات للادخال'!$F$2,التوصية!$B$248='بيانات للادخال'!$F$3),AN43*(1+PNAVAT),IF(التوصية!$B$248='بيانات للادخال'!$F$4,(AN43-AQ43)+AQ43*(1+PNAVAT)))</f>
        <v>199.36258585858587</v>
      </c>
      <c r="AN43" s="496">
        <f t="shared" si="39"/>
        <v>171.86429815395334</v>
      </c>
      <c r="AO43" s="9">
        <f t="shared" si="57"/>
        <v>0</v>
      </c>
      <c r="AP43" s="9">
        <f t="shared" si="41"/>
        <v>171.86429815395334</v>
      </c>
      <c r="AQ43" s="9">
        <f t="shared" si="44"/>
        <v>26.595430365050518</v>
      </c>
      <c r="AR43" s="550">
        <f t="shared" si="45"/>
        <v>2372.5632452159862</v>
      </c>
      <c r="AS43" s="501" t="str">
        <f t="shared" si="0"/>
        <v>Jun</v>
      </c>
      <c r="AT43" s="495" t="str">
        <f t="shared" si="47"/>
        <v>normal</v>
      </c>
      <c r="AU43" s="539" t="str">
        <f t="shared" si="11"/>
        <v>Jan</v>
      </c>
      <c r="AV43" s="447">
        <f t="shared" si="12"/>
        <v>2022</v>
      </c>
      <c r="AW43" s="447" t="str">
        <f t="shared" si="22"/>
        <v>Jan 2022</v>
      </c>
      <c r="AX43" s="448">
        <f t="shared" si="42"/>
        <v>35</v>
      </c>
      <c r="AY43" s="496">
        <f>IF(OR(التوصية!$B$248='بيانات للادخال'!$F$2,التوصية!$B$248='بيانات للادخال'!$F$3),AZ43*(1+PNAVAT),IF(التوصية!$B$248='بيانات للادخال'!$F$4,(AZ43-BC43)+BC43*(1+PNAVAT)))</f>
        <v>0</v>
      </c>
      <c r="AZ43" s="496">
        <f t="shared" si="13"/>
        <v>0</v>
      </c>
      <c r="BA43" s="9">
        <f t="shared" si="54"/>
        <v>0</v>
      </c>
      <c r="BB43" s="9">
        <f t="shared" si="15"/>
        <v>0</v>
      </c>
      <c r="BC43" s="9">
        <f t="shared" si="23"/>
        <v>20.992550077952099</v>
      </c>
      <c r="BD43" s="9">
        <f t="shared" si="43"/>
        <v>-20.992550077952099</v>
      </c>
      <c r="BE43" s="9">
        <f t="shared" si="49"/>
        <v>1921.1781831505587</v>
      </c>
      <c r="BF43" s="531">
        <f>IF($E$1='بيانات للادخال'!$M$2,IF(AND(OR(AX43=11+$Z$3,AX43=12+$Z$3,AX43=23+$Z$3,AX43=24+$Z$3,AX43=35+$Z$3,AX43=36+$Z$3,AX43=47+$Z$3,AX43=48+$Z$3,AX43=59+$Z$3,AX43=60+$Z$3),AX43&lt;=$G$3),$E$61/2,AY43),IF($E$1='بيانات للادخال'!$M$3,AC43))</f>
        <v>199.36258585858587</v>
      </c>
      <c r="BG43" s="547" t="str">
        <f t="shared" si="25"/>
        <v>Jan 2022</v>
      </c>
      <c r="BH43" s="541">
        <f t="shared" si="55"/>
        <v>0</v>
      </c>
      <c r="BI43" s="548">
        <f t="shared" si="56"/>
        <v>0</v>
      </c>
    </row>
    <row r="44" spans="1:61">
      <c r="A44" s="471" t="s">
        <v>277</v>
      </c>
      <c r="B44" s="554"/>
      <c r="D44" s="1403" t="s">
        <v>308</v>
      </c>
      <c r="E44" s="1404"/>
      <c r="G44" s="536">
        <f t="shared" si="28"/>
        <v>2022</v>
      </c>
      <c r="H44" s="537" t="str">
        <f t="shared" si="16"/>
        <v>Feb</v>
      </c>
      <c r="I44" s="447">
        <f t="shared" si="29"/>
        <v>36</v>
      </c>
      <c r="J44" s="496">
        <f>IF(OR(التوصية!$B$248='بيانات للادخال'!$F$2,التوصية!$B$248='بيانات للادخال'!$F$3),K44*(1+PNAVAT),IF(التوصية!$B$248='بيانات للادخال'!$F$4,(K44-N44)+N44*(1+PNAVAT)))</f>
        <v>199.36258585858587</v>
      </c>
      <c r="K44" s="496">
        <f t="shared" si="17"/>
        <v>171.86429815395334</v>
      </c>
      <c r="L44" s="9">
        <f t="shared" si="50"/>
        <v>0</v>
      </c>
      <c r="M44" s="9">
        <f t="shared" si="2"/>
        <v>171.86429815395334</v>
      </c>
      <c r="N44" s="9">
        <f t="shared" si="18"/>
        <v>21.943284073486861</v>
      </c>
      <c r="O44" s="538">
        <f t="shared" si="30"/>
        <v>1927.4849367410027</v>
      </c>
      <c r="P44" s="539" t="str">
        <f t="shared" si="3"/>
        <v>Feb</v>
      </c>
      <c r="Q44" s="447">
        <f t="shared" si="4"/>
        <v>2022</v>
      </c>
      <c r="R44" s="447">
        <f t="shared" si="31"/>
        <v>36</v>
      </c>
      <c r="S44" s="496">
        <f>IF(OR(التوصية!$B$248='بيانات للادخال'!$F$2,التوصية!$B$248='بيانات للادخال'!$F$3),T44*(1+PNAVAT),IF(التوصية!$B$248='بيانات للادخال'!$F$4,(T44-W44)+W44*(1+PNAVAT)))</f>
        <v>199.36258585858587</v>
      </c>
      <c r="T44" s="9">
        <f t="shared" si="19"/>
        <v>171.86429815395334</v>
      </c>
      <c r="U44" s="9">
        <f t="shared" si="51"/>
        <v>0</v>
      </c>
      <c r="V44" s="9">
        <f t="shared" si="6"/>
        <v>171.86429815395334</v>
      </c>
      <c r="W44" s="9">
        <f t="shared" si="20"/>
        <v>21.943284073486861</v>
      </c>
      <c r="X44" s="9">
        <f t="shared" si="32"/>
        <v>1927.4849367410027</v>
      </c>
      <c r="Y44" s="538">
        <f t="shared" si="33"/>
        <v>149.92101408046648</v>
      </c>
      <c r="Z44" s="494">
        <f t="shared" si="52"/>
        <v>2022</v>
      </c>
      <c r="AA44" s="537" t="str">
        <f t="shared" si="52"/>
        <v>Feb</v>
      </c>
      <c r="AB44" s="447">
        <f t="shared" si="34"/>
        <v>36</v>
      </c>
      <c r="AC44" s="496">
        <f>IF(OR(التوصية!$B$248='بيانات للادخال'!$F$2,التوصية!$B$248='بيانات للادخال'!$F$3),AD44*(1+PNAVAT),IF(التوصية!$B$248='بيانات للادخال'!$F$4,(AD44-AG44)+AG44*(1+PNAVAT)))</f>
        <v>199.36258585858587</v>
      </c>
      <c r="AD44" s="496">
        <f t="shared" si="8"/>
        <v>171.86429815395334</v>
      </c>
      <c r="AE44" s="9">
        <f t="shared" si="53"/>
        <v>0</v>
      </c>
      <c r="AF44" s="9">
        <f t="shared" si="10"/>
        <v>171.86429815395334</v>
      </c>
      <c r="AG44" s="9">
        <f t="shared" si="21"/>
        <v>21.943284073486861</v>
      </c>
      <c r="AH44" s="538">
        <f t="shared" si="35"/>
        <v>1927.4849367410027</v>
      </c>
      <c r="AI44" s="549" t="str">
        <f t="shared" si="36"/>
        <v>normal</v>
      </c>
      <c r="AJ44" s="537" t="str">
        <f t="shared" si="37"/>
        <v>Dec</v>
      </c>
      <c r="AK44" s="447">
        <f t="shared" si="38"/>
        <v>2021</v>
      </c>
      <c r="AL44" s="447">
        <f t="shared" si="46"/>
        <v>34</v>
      </c>
      <c r="AM44" s="496">
        <f>IF(OR(التوصية!$B$248='بيانات للادخال'!$F$2,التوصية!$B$248='بيانات للادخال'!$F$3),AN44*(1+PNAVAT),IF(التوصية!$B$248='بيانات للادخال'!$F$4,(AN44-AQ44)+AQ44*(1+PNAVAT)))</f>
        <v>199.36258585858587</v>
      </c>
      <c r="AN44" s="496">
        <f t="shared" si="39"/>
        <v>171.86429815395334</v>
      </c>
      <c r="AO44" s="9">
        <f t="shared" si="57"/>
        <v>0</v>
      </c>
      <c r="AP44" s="9">
        <f t="shared" si="41"/>
        <v>171.86429815395334</v>
      </c>
      <c r="AQ44" s="9">
        <f t="shared" si="44"/>
        <v>25.06098013799442</v>
      </c>
      <c r="AR44" s="550">
        <f t="shared" si="45"/>
        <v>2225.7599272000271</v>
      </c>
      <c r="AS44" s="501" t="str">
        <f t="shared" si="0"/>
        <v>Jul</v>
      </c>
      <c r="AT44" s="495" t="str">
        <f t="shared" si="47"/>
        <v>normal</v>
      </c>
      <c r="AU44" s="539" t="str">
        <f t="shared" si="11"/>
        <v>Feb</v>
      </c>
      <c r="AV44" s="447">
        <f t="shared" si="12"/>
        <v>2022</v>
      </c>
      <c r="AW44" s="447" t="str">
        <f t="shared" si="22"/>
        <v>Feb 2022</v>
      </c>
      <c r="AX44" s="448">
        <f t="shared" si="42"/>
        <v>36</v>
      </c>
      <c r="AY44" s="496">
        <f>IF(OR(التوصية!$B$248='بيانات للادخال'!$F$2,التوصية!$B$248='بيانات للادخال'!$F$3),AZ44*(1+PNAVAT),IF(التوصية!$B$248='بيانات للادخال'!$F$4,(AZ44-BC44)+BC44*(1+PNAVAT)))</f>
        <v>0</v>
      </c>
      <c r="AZ44" s="496">
        <f t="shared" si="13"/>
        <v>0</v>
      </c>
      <c r="BA44" s="9">
        <f t="shared" si="54"/>
        <v>0</v>
      </c>
      <c r="BB44" s="9">
        <f t="shared" si="15"/>
        <v>0</v>
      </c>
      <c r="BC44" s="9">
        <f t="shared" si="23"/>
        <v>21.224468029074981</v>
      </c>
      <c r="BD44" s="9">
        <f t="shared" si="43"/>
        <v>-21.224468029074981</v>
      </c>
      <c r="BE44" s="9">
        <f t="shared" si="49"/>
        <v>1942.4026511796337</v>
      </c>
      <c r="BF44" s="531">
        <f>IF($E$1='بيانات للادخال'!$M$2,IF(AND(OR(AX44=11+$Z$3,AX44=12+$Z$3,AX44=23+$Z$3,AX44=24+$Z$3,AX44=35+$Z$3,AX44=36+$Z$3,AX44=47+$Z$3,AX44=48+$Z$3,AX44=59+$Z$3,AX44=60+$Z$3),AX44&lt;=$G$3),$E$61/2,AY44),IF($E$1='بيانات للادخال'!$M$3,AC44))</f>
        <v>199.36258585858587</v>
      </c>
      <c r="BG44" s="547" t="str">
        <f t="shared" si="25"/>
        <v>Feb 2022</v>
      </c>
      <c r="BH44" s="541">
        <f t="shared" si="55"/>
        <v>0</v>
      </c>
      <c r="BI44" s="548">
        <f t="shared" si="56"/>
        <v>0</v>
      </c>
    </row>
    <row r="45" spans="1:61">
      <c r="A45" s="471" t="s">
        <v>278</v>
      </c>
      <c r="B45" s="554"/>
      <c r="D45" s="121" t="s">
        <v>317</v>
      </c>
      <c r="E45" s="997"/>
      <c r="G45" s="536">
        <f t="shared" si="28"/>
        <v>2022</v>
      </c>
      <c r="H45" s="537" t="str">
        <f t="shared" si="16"/>
        <v>Mar</v>
      </c>
      <c r="I45" s="447">
        <f t="shared" si="29"/>
        <v>37</v>
      </c>
      <c r="J45" s="496">
        <f>IF(OR(التوصية!$B$248='بيانات للادخال'!$F$2,التوصية!$B$248='بيانات للادخال'!$F$3),K45*(1+PNAVAT),IF(التوصية!$B$248='بيانات للادخال'!$F$4,(K45-N45)+N45*(1+PNAVAT)))</f>
        <v>199.36258585858587</v>
      </c>
      <c r="K45" s="496">
        <f t="shared" si="17"/>
        <v>171.86429815395334</v>
      </c>
      <c r="L45" s="9">
        <f t="shared" si="50"/>
        <v>0</v>
      </c>
      <c r="M45" s="9">
        <f t="shared" si="2"/>
        <v>171.86429815395334</v>
      </c>
      <c r="N45" s="9">
        <f t="shared" si="18"/>
        <v>20.359694020107053</v>
      </c>
      <c r="O45" s="538">
        <f t="shared" si="30"/>
        <v>1775.9803326071565</v>
      </c>
      <c r="P45" s="539" t="str">
        <f t="shared" si="3"/>
        <v>Mar</v>
      </c>
      <c r="Q45" s="447">
        <f t="shared" si="4"/>
        <v>2022</v>
      </c>
      <c r="R45" s="447">
        <f t="shared" si="31"/>
        <v>37</v>
      </c>
      <c r="S45" s="496">
        <f>IF(OR(التوصية!$B$248='بيانات للادخال'!$F$2,التوصية!$B$248='بيانات للادخال'!$F$3),T45*(1+PNAVAT),IF(التوصية!$B$248='بيانات للادخال'!$F$4,(T45-W45)+W45*(1+PNAVAT)))</f>
        <v>199.36258585858587</v>
      </c>
      <c r="T45" s="9">
        <f t="shared" si="19"/>
        <v>171.86429815395334</v>
      </c>
      <c r="U45" s="9">
        <f t="shared" si="51"/>
        <v>0</v>
      </c>
      <c r="V45" s="9">
        <f t="shared" si="6"/>
        <v>171.86429815395334</v>
      </c>
      <c r="W45" s="9">
        <f t="shared" si="20"/>
        <v>20.359694020107053</v>
      </c>
      <c r="X45" s="9">
        <f t="shared" si="32"/>
        <v>1775.9803326071565</v>
      </c>
      <c r="Y45" s="538">
        <f t="shared" si="33"/>
        <v>151.5046041338463</v>
      </c>
      <c r="Z45" s="494">
        <f t="shared" si="52"/>
        <v>2022</v>
      </c>
      <c r="AA45" s="537" t="str">
        <f t="shared" si="52"/>
        <v>Mar</v>
      </c>
      <c r="AB45" s="447">
        <f t="shared" si="34"/>
        <v>37</v>
      </c>
      <c r="AC45" s="496">
        <f>IF(OR(التوصية!$B$248='بيانات للادخال'!$F$2,التوصية!$B$248='بيانات للادخال'!$F$3),AD45*(1+PNAVAT),IF(التوصية!$B$248='بيانات للادخال'!$F$4,(AD45-AG45)+AG45*(1+PNAVAT)))</f>
        <v>199.36258585858587</v>
      </c>
      <c r="AD45" s="496">
        <f t="shared" si="8"/>
        <v>171.86429815395334</v>
      </c>
      <c r="AE45" s="9">
        <f t="shared" si="53"/>
        <v>0</v>
      </c>
      <c r="AF45" s="9">
        <f t="shared" si="10"/>
        <v>171.86429815395334</v>
      </c>
      <c r="AG45" s="9">
        <f t="shared" si="21"/>
        <v>20.359694020107053</v>
      </c>
      <c r="AH45" s="538">
        <f t="shared" si="35"/>
        <v>1775.9803326071565</v>
      </c>
      <c r="AI45" s="549" t="str">
        <f t="shared" si="36"/>
        <v>normal</v>
      </c>
      <c r="AJ45" s="537" t="str">
        <f t="shared" si="37"/>
        <v>Jan</v>
      </c>
      <c r="AK45" s="447">
        <f t="shared" si="38"/>
        <v>2022</v>
      </c>
      <c r="AL45" s="447">
        <f t="shared" si="46"/>
        <v>35</v>
      </c>
      <c r="AM45" s="496">
        <f>IF(OR(التوصية!$B$248='بيانات للادخال'!$F$2,التوصية!$B$248='بيانات للادخال'!$F$3),AN45*(1+PNAVAT),IF(التوصية!$B$248='بيانات للادخال'!$F$4,(AN45-AQ45)+AQ45*(1+PNAVAT)))</f>
        <v>199.36258585858587</v>
      </c>
      <c r="AN45" s="496">
        <f t="shared" si="39"/>
        <v>171.86429815395334</v>
      </c>
      <c r="AO45" s="9">
        <f t="shared" si="57"/>
        <v>0</v>
      </c>
      <c r="AP45" s="9">
        <f t="shared" si="41"/>
        <v>171.86429815395334</v>
      </c>
      <c r="AQ45" s="9">
        <f t="shared" si="44"/>
        <v>23.510321775395237</v>
      </c>
      <c r="AR45" s="550">
        <f t="shared" si="45"/>
        <v>2077.4059508214691</v>
      </c>
      <c r="AS45" s="501" t="str">
        <f t="shared" si="0"/>
        <v>Aug</v>
      </c>
      <c r="AT45" s="495" t="str">
        <f t="shared" si="47"/>
        <v>normal</v>
      </c>
      <c r="AU45" s="539" t="str">
        <f t="shared" si="11"/>
        <v>Mar</v>
      </c>
      <c r="AV45" s="447">
        <f t="shared" si="12"/>
        <v>2022</v>
      </c>
      <c r="AW45" s="447" t="str">
        <f t="shared" si="22"/>
        <v>Mar 2022</v>
      </c>
      <c r="AX45" s="448">
        <f t="shared" si="42"/>
        <v>37</v>
      </c>
      <c r="AY45" s="496">
        <f>IF(OR(التوصية!$B$248='بيانات للادخال'!$F$2,التوصية!$B$248='بيانات للادخال'!$F$3),AZ45*(1+PNAVAT),IF(التوصية!$B$248='بيانات للادخال'!$F$4,(AZ45-BC45)+BC45*(1+PNAVAT)))</f>
        <v>239.23510303030307</v>
      </c>
      <c r="AZ45" s="496">
        <f t="shared" si="13"/>
        <v>206.23715778474403</v>
      </c>
      <c r="BA45" s="9">
        <f t="shared" si="54"/>
        <v>0</v>
      </c>
      <c r="BB45" s="9">
        <f t="shared" si="15"/>
        <v>206.23715778474403</v>
      </c>
      <c r="BC45" s="9">
        <f t="shared" si="23"/>
        <v>21.458948124189575</v>
      </c>
      <c r="BD45" s="9">
        <f t="shared" si="43"/>
        <v>184.77820966055447</v>
      </c>
      <c r="BE45" s="9">
        <f t="shared" si="49"/>
        <v>1757.6244415190793</v>
      </c>
      <c r="BF45" s="531">
        <f>IF($E$1='بيانات للادخال'!$M$2,IF(AND(OR(AX45=11+$Z$3,AX45=12+$Z$3,AX45=23+$Z$3,AX45=24+$Z$3,AX45=35+$Z$3,AX45=36+$Z$3,AX45=47+$Z$3,AX45=48+$Z$3,AX45=59+$Z$3,AX45=60+$Z$3),AX45&lt;=$G$3),$E$61/2,AY45),IF($E$1='بيانات للادخال'!$M$3,AC45))</f>
        <v>199.36258585858587</v>
      </c>
      <c r="BG45" s="547" t="str">
        <f t="shared" si="25"/>
        <v>Mar 2022</v>
      </c>
      <c r="BH45" s="541">
        <f t="shared" si="55"/>
        <v>239.23510303030307</v>
      </c>
      <c r="BI45" s="548">
        <f t="shared" si="56"/>
        <v>206.23715778474403</v>
      </c>
    </row>
    <row r="46" spans="1:61">
      <c r="A46" s="471" t="s">
        <v>279</v>
      </c>
      <c r="B46" s="554"/>
      <c r="D46" s="121" t="s">
        <v>338</v>
      </c>
      <c r="E46" s="565">
        <f>usdrate</f>
        <v>3.3</v>
      </c>
      <c r="G46" s="536">
        <f t="shared" si="28"/>
        <v>2022</v>
      </c>
      <c r="H46" s="537" t="str">
        <f t="shared" si="16"/>
        <v>Apr</v>
      </c>
      <c r="I46" s="447">
        <f t="shared" si="29"/>
        <v>38</v>
      </c>
      <c r="J46" s="496">
        <f>IF(OR(التوصية!$B$248='بيانات للادخال'!$F$2,التوصية!$B$248='بيانات للادخال'!$F$3),K46*(1+PNAVAT),IF(التوصية!$B$248='بيانات للادخال'!$F$4,(K46-N46)+N46*(1+PNAVAT)))</f>
        <v>199.36258585858587</v>
      </c>
      <c r="K46" s="496">
        <f t="shared" si="17"/>
        <v>171.86429815395334</v>
      </c>
      <c r="L46" s="9">
        <f t="shared" si="50"/>
        <v>0</v>
      </c>
      <c r="M46" s="9">
        <f t="shared" si="2"/>
        <v>171.86429815395334</v>
      </c>
      <c r="N46" s="9">
        <f t="shared" si="18"/>
        <v>18.759376775595673</v>
      </c>
      <c r="O46" s="538">
        <f t="shared" si="30"/>
        <v>1622.8754112287988</v>
      </c>
      <c r="P46" s="539" t="str">
        <f t="shared" si="3"/>
        <v>Apr</v>
      </c>
      <c r="Q46" s="447">
        <f t="shared" si="4"/>
        <v>2022</v>
      </c>
      <c r="R46" s="447">
        <f t="shared" si="31"/>
        <v>38</v>
      </c>
      <c r="S46" s="496">
        <f>IF(OR(التوصية!$B$248='بيانات للادخال'!$F$2,التوصية!$B$248='بيانات للادخال'!$F$3),T46*(1+PNAVAT),IF(التوصية!$B$248='بيانات للادخال'!$F$4,(T46-W46)+W46*(1+PNAVAT)))</f>
        <v>199.36258585858587</v>
      </c>
      <c r="T46" s="9">
        <f t="shared" si="19"/>
        <v>171.86429815395334</v>
      </c>
      <c r="U46" s="9">
        <f t="shared" si="51"/>
        <v>0</v>
      </c>
      <c r="V46" s="9">
        <f t="shared" si="6"/>
        <v>171.86429815395334</v>
      </c>
      <c r="W46" s="9">
        <f t="shared" si="20"/>
        <v>18.759376775595673</v>
      </c>
      <c r="X46" s="9">
        <f t="shared" si="32"/>
        <v>1622.8754112287988</v>
      </c>
      <c r="Y46" s="538">
        <f t="shared" si="33"/>
        <v>153.10492137835766</v>
      </c>
      <c r="Z46" s="494">
        <f t="shared" si="52"/>
        <v>2022</v>
      </c>
      <c r="AA46" s="537" t="str">
        <f t="shared" si="52"/>
        <v>Apr</v>
      </c>
      <c r="AB46" s="447">
        <f t="shared" si="34"/>
        <v>38</v>
      </c>
      <c r="AC46" s="496">
        <f>IF(OR(التوصية!$B$248='بيانات للادخال'!$F$2,التوصية!$B$248='بيانات للادخال'!$F$3),AD46*(1+PNAVAT),IF(التوصية!$B$248='بيانات للادخال'!$F$4,(AD46-AG46)+AG46*(1+PNAVAT)))</f>
        <v>199.36258585858587</v>
      </c>
      <c r="AD46" s="496">
        <f t="shared" si="8"/>
        <v>171.86429815395334</v>
      </c>
      <c r="AE46" s="9">
        <f t="shared" si="53"/>
        <v>0</v>
      </c>
      <c r="AF46" s="9">
        <f t="shared" si="10"/>
        <v>171.86429815395334</v>
      </c>
      <c r="AG46" s="9">
        <f t="shared" si="21"/>
        <v>18.759376775595673</v>
      </c>
      <c r="AH46" s="538">
        <f t="shared" si="35"/>
        <v>1622.8754112287988</v>
      </c>
      <c r="AI46" s="549" t="str">
        <f t="shared" si="36"/>
        <v>normal</v>
      </c>
      <c r="AJ46" s="537" t="str">
        <f t="shared" si="37"/>
        <v>Feb</v>
      </c>
      <c r="AK46" s="447">
        <f t="shared" si="38"/>
        <v>2022</v>
      </c>
      <c r="AL46" s="447">
        <f t="shared" si="46"/>
        <v>36</v>
      </c>
      <c r="AM46" s="496">
        <f>IF(OR(التوصية!$B$248='بيانات للادخال'!$F$2,التوصية!$B$248='بيانات للادخال'!$F$3),AN46*(1+PNAVAT),IF(التوصية!$B$248='بيانات للادخال'!$F$4,(AN46-AQ46)+AQ46*(1+PNAVAT)))</f>
        <v>199.36258585858587</v>
      </c>
      <c r="AN46" s="496">
        <f t="shared" si="39"/>
        <v>171.86429815395334</v>
      </c>
      <c r="AO46" s="9">
        <f t="shared" si="57"/>
        <v>0</v>
      </c>
      <c r="AP46" s="9">
        <f t="shared" si="41"/>
        <v>171.86429815395334</v>
      </c>
      <c r="AQ46" s="9">
        <f t="shared" si="44"/>
        <v>21.943284073486861</v>
      </c>
      <c r="AR46" s="550">
        <f t="shared" si="45"/>
        <v>1927.4849367410027</v>
      </c>
      <c r="AS46" s="501" t="str">
        <f t="shared" si="0"/>
        <v>Sep</v>
      </c>
      <c r="AT46" s="495" t="str">
        <f t="shared" si="47"/>
        <v>normal</v>
      </c>
      <c r="AU46" s="539" t="str">
        <f t="shared" si="11"/>
        <v>Apr</v>
      </c>
      <c r="AV46" s="447">
        <f t="shared" si="12"/>
        <v>2022</v>
      </c>
      <c r="AW46" s="447" t="str">
        <f t="shared" si="22"/>
        <v>Apr 2022</v>
      </c>
      <c r="AX46" s="448">
        <f t="shared" si="42"/>
        <v>38</v>
      </c>
      <c r="AY46" s="496">
        <f>IF(OR(التوصية!$B$248='بيانات للادخال'!$F$2,التوصية!$B$248='بيانات للادخال'!$F$3),AZ46*(1+PNAVAT),IF(التوصية!$B$248='بيانات للادخال'!$F$4,(AZ46-BC46)+BC46*(1+PNAVAT)))</f>
        <v>239.23510303030307</v>
      </c>
      <c r="AZ46" s="496">
        <f t="shared" si="13"/>
        <v>206.23715778474403</v>
      </c>
      <c r="BA46" s="9">
        <f t="shared" si="54"/>
        <v>0</v>
      </c>
      <c r="BB46" s="9">
        <f t="shared" si="15"/>
        <v>206.23715778474403</v>
      </c>
      <c r="BC46" s="9">
        <f t="shared" si="23"/>
        <v>19.417586610819313</v>
      </c>
      <c r="BD46" s="9">
        <f t="shared" si="43"/>
        <v>186.81957117392471</v>
      </c>
      <c r="BE46" s="9">
        <f t="shared" si="49"/>
        <v>1570.8048703451545</v>
      </c>
      <c r="BF46" s="531">
        <f>IF($E$1='بيانات للادخال'!$M$2,IF(AND(OR(AX46=11+$Z$3,AX46=12+$Z$3,AX46=23+$Z$3,AX46=24+$Z$3,AX46=35+$Z$3,AX46=36+$Z$3,AX46=47+$Z$3,AX46=48+$Z$3,AX46=59+$Z$3,AX46=60+$Z$3),AX46&lt;=$G$3),$E$61/2,AY46),IF($E$1='بيانات للادخال'!$M$3,AC46))</f>
        <v>199.36258585858587</v>
      </c>
      <c r="BG46" s="547" t="str">
        <f t="shared" si="25"/>
        <v>Apr 2022</v>
      </c>
      <c r="BH46" s="541">
        <f t="shared" si="55"/>
        <v>239.23510303030307</v>
      </c>
      <c r="BI46" s="548">
        <f t="shared" si="56"/>
        <v>206.23715778474403</v>
      </c>
    </row>
    <row r="47" spans="1:61">
      <c r="A47" s="471" t="s">
        <v>280</v>
      </c>
      <c r="B47" s="554"/>
      <c r="D47" s="121" t="s">
        <v>339</v>
      </c>
      <c r="E47" s="566">
        <f>IF(OR(التوصية!$B$248='بيانات للادخال'!$F$2,التوصية!$B$248='بيانات للادخال'!$F$3),الأصل!$E$8/(1+PNAVAT),IF(التوصية!$B$248='بيانات للادخال'!$F$4,الأصل!$E$8))</f>
        <v>0</v>
      </c>
      <c r="G47" s="536">
        <f t="shared" si="28"/>
        <v>2022</v>
      </c>
      <c r="H47" s="537" t="str">
        <f t="shared" si="16"/>
        <v>May</v>
      </c>
      <c r="I47" s="447">
        <f t="shared" si="29"/>
        <v>39</v>
      </c>
      <c r="J47" s="496">
        <f>IF(OR(التوصية!$B$248='بيانات للادخال'!$F$2,التوصية!$B$248='بيانات للادخال'!$F$3),K47*(1+PNAVAT),IF(التوصية!$B$248='بيانات للادخال'!$F$4,(K47-N47)+N47*(1+PNAVAT)))</f>
        <v>199.36258585858587</v>
      </c>
      <c r="K47" s="496">
        <f t="shared" si="17"/>
        <v>171.86429815395334</v>
      </c>
      <c r="L47" s="9">
        <f t="shared" si="50"/>
        <v>0</v>
      </c>
      <c r="M47" s="9">
        <f t="shared" si="2"/>
        <v>171.86429815395334</v>
      </c>
      <c r="N47" s="9">
        <f t="shared" si="18"/>
        <v>17.14215565349112</v>
      </c>
      <c r="O47" s="538">
        <f t="shared" si="30"/>
        <v>1468.1532687283366</v>
      </c>
      <c r="P47" s="539" t="str">
        <f t="shared" si="3"/>
        <v>May</v>
      </c>
      <c r="Q47" s="447">
        <f t="shared" si="4"/>
        <v>2022</v>
      </c>
      <c r="R47" s="447">
        <f t="shared" si="31"/>
        <v>39</v>
      </c>
      <c r="S47" s="496">
        <f>IF(OR(التوصية!$B$248='بيانات للادخال'!$F$2,التوصية!$B$248='بيانات للادخال'!$F$3),T47*(1+PNAVAT),IF(التوصية!$B$248='بيانات للادخال'!$F$4,(T47-W47)+W47*(1+PNAVAT)))</f>
        <v>199.36258585858587</v>
      </c>
      <c r="T47" s="9">
        <f t="shared" si="19"/>
        <v>171.86429815395334</v>
      </c>
      <c r="U47" s="9">
        <f t="shared" si="51"/>
        <v>0</v>
      </c>
      <c r="V47" s="9">
        <f t="shared" si="6"/>
        <v>171.86429815395334</v>
      </c>
      <c r="W47" s="9">
        <f t="shared" si="20"/>
        <v>17.14215565349112</v>
      </c>
      <c r="X47" s="9">
        <f t="shared" si="32"/>
        <v>1468.1532687283366</v>
      </c>
      <c r="Y47" s="538">
        <f t="shared" si="33"/>
        <v>154.72214250046221</v>
      </c>
      <c r="Z47" s="494">
        <f t="shared" si="52"/>
        <v>2022</v>
      </c>
      <c r="AA47" s="537" t="str">
        <f t="shared" si="52"/>
        <v>May</v>
      </c>
      <c r="AB47" s="447">
        <f t="shared" si="34"/>
        <v>39</v>
      </c>
      <c r="AC47" s="496">
        <f>IF(OR(التوصية!$B$248='بيانات للادخال'!$F$2,التوصية!$B$248='بيانات للادخال'!$F$3),AD47*(1+PNAVAT),IF(التوصية!$B$248='بيانات للادخال'!$F$4,(AD47-AG47)+AG47*(1+PNAVAT)))</f>
        <v>199.36258585858587</v>
      </c>
      <c r="AD47" s="496">
        <f t="shared" si="8"/>
        <v>171.86429815395334</v>
      </c>
      <c r="AE47" s="9">
        <f t="shared" si="53"/>
        <v>0</v>
      </c>
      <c r="AF47" s="9">
        <f t="shared" si="10"/>
        <v>171.86429815395334</v>
      </c>
      <c r="AG47" s="9">
        <f t="shared" si="21"/>
        <v>17.14215565349112</v>
      </c>
      <c r="AH47" s="538">
        <f t="shared" si="35"/>
        <v>1468.1532687283366</v>
      </c>
      <c r="AI47" s="549" t="str">
        <f t="shared" si="36"/>
        <v>normal</v>
      </c>
      <c r="AJ47" s="537" t="str">
        <f t="shared" si="37"/>
        <v>Mar</v>
      </c>
      <c r="AK47" s="447">
        <f t="shared" si="38"/>
        <v>2022</v>
      </c>
      <c r="AL47" s="447">
        <f t="shared" si="46"/>
        <v>37</v>
      </c>
      <c r="AM47" s="496">
        <f>IF(OR(التوصية!$B$248='بيانات للادخال'!$F$2,التوصية!$B$248='بيانات للادخال'!$F$3),AN47*(1+PNAVAT),IF(التوصية!$B$248='بيانات للادخال'!$F$4,(AN47-AQ47)+AQ47*(1+PNAVAT)))</f>
        <v>199.36258585858587</v>
      </c>
      <c r="AN47" s="496">
        <f t="shared" si="39"/>
        <v>171.86429815395334</v>
      </c>
      <c r="AO47" s="9">
        <f t="shared" si="57"/>
        <v>0</v>
      </c>
      <c r="AP47" s="9">
        <f t="shared" si="41"/>
        <v>171.86429815395334</v>
      </c>
      <c r="AQ47" s="9">
        <f t="shared" si="44"/>
        <v>20.359694020107053</v>
      </c>
      <c r="AR47" s="550">
        <f t="shared" si="45"/>
        <v>1775.9803326071565</v>
      </c>
      <c r="AS47" s="501" t="str">
        <f t="shared" si="0"/>
        <v>Oct</v>
      </c>
      <c r="AT47" s="495" t="str">
        <f t="shared" si="47"/>
        <v>normal</v>
      </c>
      <c r="AU47" s="539" t="str">
        <f t="shared" si="11"/>
        <v>May</v>
      </c>
      <c r="AV47" s="447">
        <f t="shared" si="12"/>
        <v>2022</v>
      </c>
      <c r="AW47" s="447" t="str">
        <f t="shared" si="22"/>
        <v>May 2022</v>
      </c>
      <c r="AX47" s="448">
        <f t="shared" si="42"/>
        <v>39</v>
      </c>
      <c r="AY47" s="496">
        <f>IF(OR(التوصية!$B$248='بيانات للادخال'!$F$2,التوصية!$B$248='بيانات للادخال'!$F$3),AZ47*(1+PNAVAT),IF(التوصية!$B$248='بيانات للادخال'!$F$4,(AZ47-BC47)+BC47*(1+PNAVAT)))</f>
        <v>239.23510303030307</v>
      </c>
      <c r="AZ47" s="496">
        <f t="shared" si="13"/>
        <v>206.23715778474403</v>
      </c>
      <c r="BA47" s="9">
        <f t="shared" si="54"/>
        <v>0</v>
      </c>
      <c r="BB47" s="9">
        <f t="shared" si="15"/>
        <v>206.23715778474403</v>
      </c>
      <c r="BC47" s="9">
        <f t="shared" si="23"/>
        <v>17.353672888311817</v>
      </c>
      <c r="BD47" s="9">
        <f t="shared" si="43"/>
        <v>188.88348489643221</v>
      </c>
      <c r="BE47" s="9">
        <f t="shared" si="49"/>
        <v>1381.9213854487223</v>
      </c>
      <c r="BF47" s="531">
        <f>IF($E$1='بيانات للادخال'!$M$2,IF(AND(OR(AX47=11+$Z$3,AX47=12+$Z$3,AX47=23+$Z$3,AX47=24+$Z$3,AX47=35+$Z$3,AX47=36+$Z$3,AX47=47+$Z$3,AX47=48+$Z$3,AX47=59+$Z$3,AX47=60+$Z$3),AX47&lt;=$G$3),$E$61/2,AY47),IF($E$1='بيانات للادخال'!$M$3,AC47))</f>
        <v>199.36258585858587</v>
      </c>
      <c r="BG47" s="547" t="str">
        <f t="shared" si="25"/>
        <v>May 2022</v>
      </c>
      <c r="BH47" s="541">
        <f t="shared" si="55"/>
        <v>239.23510303030307</v>
      </c>
      <c r="BI47" s="548">
        <f t="shared" si="56"/>
        <v>206.23715778474403</v>
      </c>
    </row>
    <row r="48" spans="1:61">
      <c r="A48" s="471" t="s">
        <v>281</v>
      </c>
      <c r="B48" s="554"/>
      <c r="D48" s="121" t="s">
        <v>340</v>
      </c>
      <c r="E48" s="566">
        <f>IF(OR(التوصية!$B$248='بيانات للادخال'!$F$2,التوصية!$B$248='بيانات للادخال'!$F$3),الأصل!$F$8/(1+PNAVAT),IF(التوصية!$B$248='بيانات للادخال'!$F$4,الأصل!$F$8))</f>
        <v>0</v>
      </c>
      <c r="G48" s="536">
        <f t="shared" si="28"/>
        <v>2022</v>
      </c>
      <c r="H48" s="537" t="str">
        <f t="shared" si="16"/>
        <v>Jun</v>
      </c>
      <c r="I48" s="447">
        <f t="shared" si="29"/>
        <v>40</v>
      </c>
      <c r="J48" s="496">
        <f>IF(OR(التوصية!$B$248='بيانات للادخال'!$F$2,التوصية!$B$248='بيانات للادخال'!$F$3),K48*(1+PNAVAT),IF(التوصية!$B$248='بيانات للادخال'!$F$4,(K48-N48)+N48*(1+PNAVAT)))</f>
        <v>199.36258585858587</v>
      </c>
      <c r="K48" s="496">
        <f t="shared" si="17"/>
        <v>171.86429815395334</v>
      </c>
      <c r="L48" s="9">
        <f t="shared" si="50"/>
        <v>0</v>
      </c>
      <c r="M48" s="9">
        <f t="shared" si="2"/>
        <v>171.86429815395334</v>
      </c>
      <c r="N48" s="9">
        <f t="shared" si="18"/>
        <v>15.507852101022893</v>
      </c>
      <c r="O48" s="538">
        <f t="shared" si="30"/>
        <v>1311.796822675406</v>
      </c>
      <c r="P48" s="539" t="str">
        <f t="shared" si="3"/>
        <v>Jun</v>
      </c>
      <c r="Q48" s="447">
        <f t="shared" si="4"/>
        <v>2022</v>
      </c>
      <c r="R48" s="447">
        <f t="shared" si="31"/>
        <v>40</v>
      </c>
      <c r="S48" s="496">
        <f>IF(OR(التوصية!$B$248='بيانات للادخال'!$F$2,التوصية!$B$248='بيانات للادخال'!$F$3),T48*(1+PNAVAT),IF(التوصية!$B$248='بيانات للادخال'!$F$4,(T48-W48)+W48*(1+PNAVAT)))</f>
        <v>199.36258585858587</v>
      </c>
      <c r="T48" s="9">
        <f t="shared" si="19"/>
        <v>171.86429815395334</v>
      </c>
      <c r="U48" s="9">
        <f t="shared" si="51"/>
        <v>0</v>
      </c>
      <c r="V48" s="9">
        <f t="shared" si="6"/>
        <v>171.86429815395334</v>
      </c>
      <c r="W48" s="9">
        <f t="shared" si="20"/>
        <v>15.507852101022893</v>
      </c>
      <c r="X48" s="9">
        <f t="shared" si="32"/>
        <v>1311.796822675406</v>
      </c>
      <c r="Y48" s="538">
        <f t="shared" si="33"/>
        <v>156.35644605293044</v>
      </c>
      <c r="Z48" s="494">
        <f t="shared" si="52"/>
        <v>2022</v>
      </c>
      <c r="AA48" s="537" t="str">
        <f t="shared" si="52"/>
        <v>Jun</v>
      </c>
      <c r="AB48" s="447">
        <f t="shared" si="34"/>
        <v>40</v>
      </c>
      <c r="AC48" s="496">
        <f>IF(OR(التوصية!$B$248='بيانات للادخال'!$F$2,التوصية!$B$248='بيانات للادخال'!$F$3),AD48*(1+PNAVAT),IF(التوصية!$B$248='بيانات للادخال'!$F$4,(AD48-AG48)+AG48*(1+PNAVAT)))</f>
        <v>199.36258585858587</v>
      </c>
      <c r="AD48" s="496">
        <f t="shared" si="8"/>
        <v>171.86429815395334</v>
      </c>
      <c r="AE48" s="9">
        <f t="shared" si="53"/>
        <v>0</v>
      </c>
      <c r="AF48" s="9">
        <f t="shared" si="10"/>
        <v>171.86429815395334</v>
      </c>
      <c r="AG48" s="9">
        <f t="shared" si="21"/>
        <v>15.507852101022893</v>
      </c>
      <c r="AH48" s="538">
        <f t="shared" si="35"/>
        <v>1311.796822675406</v>
      </c>
      <c r="AI48" s="549" t="str">
        <f t="shared" si="36"/>
        <v>normal</v>
      </c>
      <c r="AJ48" s="537" t="str">
        <f t="shared" si="37"/>
        <v>Apr</v>
      </c>
      <c r="AK48" s="447">
        <f t="shared" si="38"/>
        <v>2022</v>
      </c>
      <c r="AL48" s="447">
        <f t="shared" si="46"/>
        <v>38</v>
      </c>
      <c r="AM48" s="496">
        <f>IF(OR(التوصية!$B$248='بيانات للادخال'!$F$2,التوصية!$B$248='بيانات للادخال'!$F$3),AN48*(1+PNAVAT),IF(التوصية!$B$248='بيانات للادخال'!$F$4,(AN48-AQ48)+AQ48*(1+PNAVAT)))</f>
        <v>199.36258585858587</v>
      </c>
      <c r="AN48" s="496">
        <f t="shared" si="39"/>
        <v>171.86429815395334</v>
      </c>
      <c r="AO48" s="9">
        <f t="shared" si="57"/>
        <v>0</v>
      </c>
      <c r="AP48" s="9">
        <f t="shared" si="41"/>
        <v>171.86429815395334</v>
      </c>
      <c r="AQ48" s="9">
        <f t="shared" si="44"/>
        <v>18.759376775595673</v>
      </c>
      <c r="AR48" s="550">
        <f t="shared" si="45"/>
        <v>1622.8754112287988</v>
      </c>
      <c r="AS48" s="501" t="str">
        <f t="shared" si="0"/>
        <v>Nov</v>
      </c>
      <c r="AT48" s="495" t="str">
        <f t="shared" si="47"/>
        <v>normal</v>
      </c>
      <c r="AU48" s="539" t="str">
        <f t="shared" si="11"/>
        <v>Jun</v>
      </c>
      <c r="AV48" s="447">
        <f t="shared" si="12"/>
        <v>2022</v>
      </c>
      <c r="AW48" s="447" t="str">
        <f t="shared" si="22"/>
        <v>Jun 2022</v>
      </c>
      <c r="AX48" s="448">
        <f t="shared" si="42"/>
        <v>40</v>
      </c>
      <c r="AY48" s="496">
        <f>IF(OR(التوصية!$B$248='بيانات للادخال'!$F$2,التوصية!$B$248='بيانات للادخال'!$F$3),AZ48*(1+PNAVAT),IF(التوصية!$B$248='بيانات للادخال'!$F$4,(AZ48-BC48)+BC48*(1+PNAVAT)))</f>
        <v>239.23510303030307</v>
      </c>
      <c r="AZ48" s="496">
        <f t="shared" si="13"/>
        <v>206.23715778474403</v>
      </c>
      <c r="BA48" s="9">
        <f t="shared" si="54"/>
        <v>0</v>
      </c>
      <c r="BB48" s="9">
        <f t="shared" si="15"/>
        <v>206.23715778474403</v>
      </c>
      <c r="BC48" s="9">
        <f t="shared" si="23"/>
        <v>15.266957808177876</v>
      </c>
      <c r="BD48" s="9">
        <f t="shared" si="43"/>
        <v>190.97019997656616</v>
      </c>
      <c r="BE48" s="9">
        <f t="shared" si="49"/>
        <v>1190.9511854721561</v>
      </c>
      <c r="BF48" s="531">
        <f>IF($E$1='بيانات للادخال'!$M$2,IF(AND(OR(AX48=11+$Z$3,AX48=12+$Z$3,AX48=23+$Z$3,AX48=24+$Z$3,AX48=35+$Z$3,AX48=36+$Z$3,AX48=47+$Z$3,AX48=48+$Z$3,AX48=59+$Z$3,AX48=60+$Z$3),AX48&lt;=$G$3),$E$61/2,AY48),IF($E$1='بيانات للادخال'!$M$3,AC48))</f>
        <v>199.36258585858587</v>
      </c>
      <c r="BG48" s="547" t="str">
        <f t="shared" si="25"/>
        <v>Jun 2022</v>
      </c>
      <c r="BH48" s="541">
        <f t="shared" si="55"/>
        <v>239.23510303030307</v>
      </c>
      <c r="BI48" s="548">
        <f t="shared" si="56"/>
        <v>206.23715778474403</v>
      </c>
    </row>
    <row r="49" spans="1:61">
      <c r="A49" s="552" t="s">
        <v>282</v>
      </c>
      <c r="B49" s="554"/>
      <c r="D49" s="121" t="s">
        <v>9</v>
      </c>
      <c r="E49" s="22">
        <f>E47-E48</f>
        <v>0</v>
      </c>
      <c r="G49" s="536">
        <f t="shared" si="28"/>
        <v>2022</v>
      </c>
      <c r="H49" s="537" t="str">
        <f t="shared" si="16"/>
        <v>Jul</v>
      </c>
      <c r="I49" s="447">
        <f t="shared" si="29"/>
        <v>41</v>
      </c>
      <c r="J49" s="496">
        <f>IF(OR(التوصية!$B$248='بيانات للادخال'!$F$2,التوصية!$B$248='بيانات للادخال'!$F$3),K49*(1+PNAVAT),IF(التوصية!$B$248='بيانات للادخال'!$F$4,(K49-N49)+N49*(1+PNAVAT)))</f>
        <v>199.36258585858587</v>
      </c>
      <c r="K49" s="496">
        <f t="shared" si="17"/>
        <v>171.86429815395334</v>
      </c>
      <c r="L49" s="9">
        <f t="shared" si="50"/>
        <v>0</v>
      </c>
      <c r="M49" s="9">
        <f t="shared" si="2"/>
        <v>171.86429815395334</v>
      </c>
      <c r="N49" s="9">
        <f t="shared" si="18"/>
        <v>13.856285679398093</v>
      </c>
      <c r="O49" s="538">
        <f t="shared" si="30"/>
        <v>1153.7888102008508</v>
      </c>
      <c r="P49" s="539" t="str">
        <f t="shared" si="3"/>
        <v>Jul</v>
      </c>
      <c r="Q49" s="447">
        <f t="shared" si="4"/>
        <v>2022</v>
      </c>
      <c r="R49" s="447">
        <f t="shared" si="31"/>
        <v>41</v>
      </c>
      <c r="S49" s="496">
        <f>IF(OR(التوصية!$B$248='بيانات للادخال'!$F$2,التوصية!$B$248='بيانات للادخال'!$F$3),T49*(1+PNAVAT),IF(التوصية!$B$248='بيانات للادخال'!$F$4,(T49-W49)+W49*(1+PNAVAT)))</f>
        <v>199.36258585858587</v>
      </c>
      <c r="T49" s="9">
        <f t="shared" si="19"/>
        <v>171.86429815395334</v>
      </c>
      <c r="U49" s="9">
        <f t="shared" si="51"/>
        <v>0</v>
      </c>
      <c r="V49" s="9">
        <f t="shared" si="6"/>
        <v>171.86429815395334</v>
      </c>
      <c r="W49" s="9">
        <f t="shared" si="20"/>
        <v>13.856285679398093</v>
      </c>
      <c r="X49" s="9">
        <f t="shared" si="32"/>
        <v>1153.7888102008508</v>
      </c>
      <c r="Y49" s="538">
        <f t="shared" si="33"/>
        <v>158.00801247455524</v>
      </c>
      <c r="Z49" s="494">
        <f t="shared" si="52"/>
        <v>2022</v>
      </c>
      <c r="AA49" s="537" t="str">
        <f t="shared" si="52"/>
        <v>Jul</v>
      </c>
      <c r="AB49" s="447">
        <f t="shared" si="34"/>
        <v>41</v>
      </c>
      <c r="AC49" s="496">
        <f>IF(OR(التوصية!$B$248='بيانات للادخال'!$F$2,التوصية!$B$248='بيانات للادخال'!$F$3),AD49*(1+PNAVAT),IF(التوصية!$B$248='بيانات للادخال'!$F$4,(AD49-AG49)+AG49*(1+PNAVAT)))</f>
        <v>199.36258585858587</v>
      </c>
      <c r="AD49" s="496">
        <f t="shared" si="8"/>
        <v>171.86429815395334</v>
      </c>
      <c r="AE49" s="9">
        <f t="shared" si="53"/>
        <v>0</v>
      </c>
      <c r="AF49" s="9">
        <f t="shared" si="10"/>
        <v>171.86429815395334</v>
      </c>
      <c r="AG49" s="9">
        <f t="shared" si="21"/>
        <v>13.856285679398093</v>
      </c>
      <c r="AH49" s="538">
        <f t="shared" si="35"/>
        <v>1153.7888102008508</v>
      </c>
      <c r="AI49" s="549" t="str">
        <f t="shared" si="36"/>
        <v>normal</v>
      </c>
      <c r="AJ49" s="537" t="str">
        <f t="shared" si="37"/>
        <v>May</v>
      </c>
      <c r="AK49" s="447">
        <f t="shared" si="38"/>
        <v>2022</v>
      </c>
      <c r="AL49" s="447">
        <f t="shared" si="46"/>
        <v>39</v>
      </c>
      <c r="AM49" s="496">
        <f>IF(OR(التوصية!$B$248='بيانات للادخال'!$F$2,التوصية!$B$248='بيانات للادخال'!$F$3),AN49*(1+PNAVAT),IF(التوصية!$B$248='بيانات للادخال'!$F$4,(AN49-AQ49)+AQ49*(1+PNAVAT)))</f>
        <v>199.36258585858587</v>
      </c>
      <c r="AN49" s="496">
        <f t="shared" si="39"/>
        <v>171.86429815395334</v>
      </c>
      <c r="AO49" s="9">
        <f t="shared" si="57"/>
        <v>0</v>
      </c>
      <c r="AP49" s="9">
        <f t="shared" si="41"/>
        <v>171.86429815395334</v>
      </c>
      <c r="AQ49" s="9">
        <f t="shared" si="44"/>
        <v>17.14215565349112</v>
      </c>
      <c r="AR49" s="550">
        <f t="shared" si="45"/>
        <v>1468.1532687283366</v>
      </c>
      <c r="AS49" s="501" t="str">
        <f t="shared" si="0"/>
        <v>Dec</v>
      </c>
      <c r="AT49" s="495" t="str">
        <f t="shared" si="47"/>
        <v>normal</v>
      </c>
      <c r="AU49" s="539" t="str">
        <f t="shared" si="11"/>
        <v>Jul</v>
      </c>
      <c r="AV49" s="447">
        <f t="shared" si="12"/>
        <v>2022</v>
      </c>
      <c r="AW49" s="447" t="str">
        <f t="shared" si="22"/>
        <v>Jul 2022</v>
      </c>
      <c r="AX49" s="448">
        <f t="shared" si="42"/>
        <v>41</v>
      </c>
      <c r="AY49" s="496">
        <f>IF(OR(التوصية!$B$248='بيانات للادخال'!$F$2,التوصية!$B$248='بيانات للادخال'!$F$3),AZ49*(1+PNAVAT),IF(التوصية!$B$248='بيانات للادخال'!$F$4,(AZ49-BC49)+BC49*(1+PNAVAT)))</f>
        <v>239.23510303030307</v>
      </c>
      <c r="AZ49" s="496">
        <f t="shared" si="13"/>
        <v>206.23715778474403</v>
      </c>
      <c r="BA49" s="9">
        <f t="shared" si="54"/>
        <v>0</v>
      </c>
      <c r="BB49" s="9">
        <f t="shared" si="15"/>
        <v>206.23715778474403</v>
      </c>
      <c r="BC49" s="9">
        <f t="shared" si="23"/>
        <v>13.157189469427676</v>
      </c>
      <c r="BD49" s="9">
        <f t="shared" si="43"/>
        <v>193.07996831531636</v>
      </c>
      <c r="BE49" s="9">
        <f t="shared" si="49"/>
        <v>997.87121715683975</v>
      </c>
      <c r="BF49" s="531">
        <f>IF($E$1='بيانات للادخال'!$M$2,IF(AND(OR(AX49=11+$Z$3,AX49=12+$Z$3,AX49=23+$Z$3,AX49=24+$Z$3,AX49=35+$Z$3,AX49=36+$Z$3,AX49=47+$Z$3,AX49=48+$Z$3,AX49=59+$Z$3,AX49=60+$Z$3),AX49&lt;=$G$3),$E$61/2,AY49),IF($E$1='بيانات للادخال'!$M$3,AC49))</f>
        <v>199.36258585858587</v>
      </c>
      <c r="BG49" s="547" t="str">
        <f t="shared" si="25"/>
        <v>Jul 2022</v>
      </c>
      <c r="BH49" s="541">
        <f t="shared" si="55"/>
        <v>239.23510303030307</v>
      </c>
      <c r="BI49" s="548">
        <f t="shared" si="56"/>
        <v>206.23715778474403</v>
      </c>
    </row>
    <row r="50" spans="1:61">
      <c r="A50" s="451" t="s">
        <v>271</v>
      </c>
      <c r="B50" s="554"/>
      <c r="D50" s="543" t="s">
        <v>349</v>
      </c>
      <c r="E50" s="544" t="s">
        <v>350</v>
      </c>
      <c r="G50" s="536">
        <f t="shared" si="28"/>
        <v>2022</v>
      </c>
      <c r="H50" s="537" t="str">
        <f t="shared" si="16"/>
        <v>Aug</v>
      </c>
      <c r="I50" s="447">
        <f t="shared" si="29"/>
        <v>42</v>
      </c>
      <c r="J50" s="496">
        <f>IF(OR(التوصية!$B$248='بيانات للادخال'!$F$2,التوصية!$B$248='بيانات للادخال'!$F$3),K50*(1+PNAVAT),IF(التوصية!$B$248='بيانات للادخال'!$F$4,(K50-N50)+N50*(1+PNAVAT)))</f>
        <v>199.36258585858587</v>
      </c>
      <c r="K50" s="496">
        <f t="shared" si="17"/>
        <v>171.86429815395334</v>
      </c>
      <c r="L50" s="9">
        <f t="shared" si="50"/>
        <v>0</v>
      </c>
      <c r="M50" s="9">
        <f t="shared" si="2"/>
        <v>171.86429815395334</v>
      </c>
      <c r="N50" s="9">
        <f t="shared" si="18"/>
        <v>12.187274043879682</v>
      </c>
      <c r="O50" s="538">
        <f t="shared" si="30"/>
        <v>994.11178609077706</v>
      </c>
      <c r="P50" s="539" t="str">
        <f t="shared" si="3"/>
        <v>Aug</v>
      </c>
      <c r="Q50" s="447">
        <f t="shared" si="4"/>
        <v>2022</v>
      </c>
      <c r="R50" s="447">
        <f t="shared" si="31"/>
        <v>42</v>
      </c>
      <c r="S50" s="496">
        <f>IF(OR(التوصية!$B$248='بيانات للادخال'!$F$2,التوصية!$B$248='بيانات للادخال'!$F$3),T50*(1+PNAVAT),IF(التوصية!$B$248='بيانات للادخال'!$F$4,(T50-W50)+W50*(1+PNAVAT)))</f>
        <v>199.36258585858587</v>
      </c>
      <c r="T50" s="9">
        <f t="shared" si="19"/>
        <v>171.86429815395334</v>
      </c>
      <c r="U50" s="9">
        <f t="shared" si="51"/>
        <v>0</v>
      </c>
      <c r="V50" s="9">
        <f t="shared" si="6"/>
        <v>171.86429815395334</v>
      </c>
      <c r="W50" s="9">
        <f t="shared" si="20"/>
        <v>12.187274043879682</v>
      </c>
      <c r="X50" s="9">
        <f t="shared" si="32"/>
        <v>994.11178609077706</v>
      </c>
      <c r="Y50" s="538">
        <f t="shared" si="33"/>
        <v>159.67702411007366</v>
      </c>
      <c r="Z50" s="494">
        <f t="shared" si="52"/>
        <v>2022</v>
      </c>
      <c r="AA50" s="537" t="str">
        <f t="shared" si="52"/>
        <v>Aug</v>
      </c>
      <c r="AB50" s="447">
        <f t="shared" si="34"/>
        <v>42</v>
      </c>
      <c r="AC50" s="496">
        <f>IF(OR(التوصية!$B$248='بيانات للادخال'!$F$2,التوصية!$B$248='بيانات للادخال'!$F$3),AD50*(1+PNAVAT),IF(التوصية!$B$248='بيانات للادخال'!$F$4,(AD50-AG50)+AG50*(1+PNAVAT)))</f>
        <v>199.36258585858587</v>
      </c>
      <c r="AD50" s="496">
        <f t="shared" si="8"/>
        <v>171.86429815395334</v>
      </c>
      <c r="AE50" s="9">
        <f t="shared" si="53"/>
        <v>0</v>
      </c>
      <c r="AF50" s="9">
        <f t="shared" si="10"/>
        <v>171.86429815395334</v>
      </c>
      <c r="AG50" s="9">
        <f t="shared" si="21"/>
        <v>12.187274043879682</v>
      </c>
      <c r="AH50" s="538">
        <f t="shared" si="35"/>
        <v>994.11178609077706</v>
      </c>
      <c r="AI50" s="549" t="str">
        <f t="shared" si="36"/>
        <v>normal</v>
      </c>
      <c r="AJ50" s="537" t="str">
        <f t="shared" si="37"/>
        <v>Jun</v>
      </c>
      <c r="AK50" s="447">
        <f t="shared" si="38"/>
        <v>2022</v>
      </c>
      <c r="AL50" s="447">
        <f t="shared" si="46"/>
        <v>40</v>
      </c>
      <c r="AM50" s="496">
        <f>IF(OR(التوصية!$B$248='بيانات للادخال'!$F$2,التوصية!$B$248='بيانات للادخال'!$F$3),AN50*(1+PNAVAT),IF(التوصية!$B$248='بيانات للادخال'!$F$4,(AN50-AQ50)+AQ50*(1+PNAVAT)))</f>
        <v>199.36258585858587</v>
      </c>
      <c r="AN50" s="496">
        <f t="shared" si="39"/>
        <v>171.86429815395334</v>
      </c>
      <c r="AO50" s="9">
        <f t="shared" si="57"/>
        <v>0</v>
      </c>
      <c r="AP50" s="9">
        <f t="shared" si="41"/>
        <v>171.86429815395334</v>
      </c>
      <c r="AQ50" s="9">
        <f t="shared" si="44"/>
        <v>15.507852101022893</v>
      </c>
      <c r="AR50" s="550">
        <f t="shared" si="45"/>
        <v>1311.796822675406</v>
      </c>
      <c r="AS50" s="501" t="str">
        <f t="shared" si="0"/>
        <v>Jan</v>
      </c>
      <c r="AT50" s="495" t="str">
        <f t="shared" si="47"/>
        <v>normal</v>
      </c>
      <c r="AU50" s="539" t="str">
        <f t="shared" si="11"/>
        <v>Aug</v>
      </c>
      <c r="AV50" s="447">
        <f t="shared" si="12"/>
        <v>2022</v>
      </c>
      <c r="AW50" s="447" t="str">
        <f t="shared" si="22"/>
        <v>Aug 2022</v>
      </c>
      <c r="AX50" s="448">
        <f t="shared" si="42"/>
        <v>42</v>
      </c>
      <c r="AY50" s="496">
        <f>IF(OR(التوصية!$B$248='بيانات للادخال'!$F$2,التوصية!$B$248='بيانات للادخال'!$F$3),AZ50*(1+PNAVAT),IF(التوصية!$B$248='بيانات للادخال'!$F$4,(AZ50-BC50)+BC50*(1+PNAVAT)))</f>
        <v>239.23510303030307</v>
      </c>
      <c r="AZ50" s="496">
        <f t="shared" si="13"/>
        <v>206.23715778474403</v>
      </c>
      <c r="BA50" s="9">
        <f t="shared" si="54"/>
        <v>0</v>
      </c>
      <c r="BB50" s="9">
        <f t="shared" si="15"/>
        <v>206.23715778474403</v>
      </c>
      <c r="BC50" s="9">
        <f t="shared" si="23"/>
        <v>11.024113188162154</v>
      </c>
      <c r="BD50" s="9">
        <f t="shared" si="43"/>
        <v>195.21304459658188</v>
      </c>
      <c r="BE50" s="9">
        <f t="shared" si="49"/>
        <v>802.65817256025787</v>
      </c>
      <c r="BF50" s="531">
        <f>IF($E$1='بيانات للادخال'!$M$2,IF(AND(OR(AX50=11+$Z$3,AX50=12+$Z$3,AX50=23+$Z$3,AX50=24+$Z$3,AX50=35+$Z$3,AX50=36+$Z$3,AX50=47+$Z$3,AX50=48+$Z$3,AX50=59+$Z$3,AX50=60+$Z$3),AX50&lt;=$G$3),$E$61/2,AY50),IF($E$1='بيانات للادخال'!$M$3,AC50))</f>
        <v>199.36258585858587</v>
      </c>
      <c r="BG50" s="547" t="str">
        <f t="shared" si="25"/>
        <v>Aug 2022</v>
      </c>
      <c r="BH50" s="541">
        <f t="shared" si="55"/>
        <v>239.23510303030307</v>
      </c>
      <c r="BI50" s="548">
        <f t="shared" si="56"/>
        <v>206.23715778474403</v>
      </c>
    </row>
    <row r="51" spans="1:61">
      <c r="A51" s="471" t="s">
        <v>272</v>
      </c>
      <c r="B51" s="554"/>
      <c r="D51" s="543" t="s">
        <v>351</v>
      </c>
      <c r="E51" s="551">
        <f>IF(E45="",0,IF(E45&lt;1001,935/E46+(E47*(1+PNAVAT)*0.0175),IF(E45&lt;1501,1035/E46+(E47*(1+PNAVAT)*0.0175),IF(E45&lt;2001,1340/E46+(E47*(1+PNAVAT)*0.0175),IF(E45&lt;10000,1690/E46+(E47*(1+PNAVAT)*0.0175)," ")))))</f>
        <v>0</v>
      </c>
      <c r="G51" s="536">
        <f t="shared" si="28"/>
        <v>2022</v>
      </c>
      <c r="H51" s="537" t="str">
        <f t="shared" si="16"/>
        <v>Sep</v>
      </c>
      <c r="I51" s="447">
        <f t="shared" si="29"/>
        <v>43</v>
      </c>
      <c r="J51" s="496">
        <f>IF(OR(التوصية!$B$248='بيانات للادخال'!$F$2,التوصية!$B$248='بيانات للادخال'!$F$3),K51*(1+PNAVAT),IF(التوصية!$B$248='بيانات للادخال'!$F$4,(K51-N51)+N51*(1+PNAVAT)))</f>
        <v>199.36258585858587</v>
      </c>
      <c r="K51" s="496">
        <f t="shared" si="17"/>
        <v>171.86429815395334</v>
      </c>
      <c r="L51" s="9">
        <f t="shared" si="50"/>
        <v>0</v>
      </c>
      <c r="M51" s="9">
        <f t="shared" si="2"/>
        <v>171.86429815395334</v>
      </c>
      <c r="N51" s="9">
        <f t="shared" si="18"/>
        <v>10.500632923654319</v>
      </c>
      <c r="O51" s="538">
        <f t="shared" si="30"/>
        <v>832.74812086047802</v>
      </c>
      <c r="P51" s="539" t="str">
        <f t="shared" si="3"/>
        <v>Sep</v>
      </c>
      <c r="Q51" s="447">
        <f t="shared" si="4"/>
        <v>2022</v>
      </c>
      <c r="R51" s="447">
        <f t="shared" si="31"/>
        <v>43</v>
      </c>
      <c r="S51" s="496">
        <f>IF(OR(التوصية!$B$248='بيانات للادخال'!$F$2,التوصية!$B$248='بيانات للادخال'!$F$3),T51*(1+PNAVAT),IF(التوصية!$B$248='بيانات للادخال'!$F$4,(T51-W51)+W51*(1+PNAVAT)))</f>
        <v>199.36258585858587</v>
      </c>
      <c r="T51" s="9">
        <f t="shared" si="19"/>
        <v>171.86429815395334</v>
      </c>
      <c r="U51" s="9">
        <f t="shared" si="51"/>
        <v>0</v>
      </c>
      <c r="V51" s="9">
        <f t="shared" si="6"/>
        <v>171.86429815395334</v>
      </c>
      <c r="W51" s="9">
        <f t="shared" si="20"/>
        <v>10.500632923654319</v>
      </c>
      <c r="X51" s="9">
        <f t="shared" si="32"/>
        <v>832.74812086047802</v>
      </c>
      <c r="Y51" s="538">
        <f t="shared" si="33"/>
        <v>161.36366523029903</v>
      </c>
      <c r="Z51" s="494">
        <f t="shared" si="52"/>
        <v>2022</v>
      </c>
      <c r="AA51" s="537" t="str">
        <f t="shared" si="52"/>
        <v>Sep</v>
      </c>
      <c r="AB51" s="447">
        <f t="shared" si="34"/>
        <v>43</v>
      </c>
      <c r="AC51" s="496">
        <f>IF(OR(التوصية!$B$248='بيانات للادخال'!$F$2,التوصية!$B$248='بيانات للادخال'!$F$3),AD51*(1+PNAVAT),IF(التوصية!$B$248='بيانات للادخال'!$F$4,(AD51-AG51)+AG51*(1+PNAVAT)))</f>
        <v>199.36258585858587</v>
      </c>
      <c r="AD51" s="496">
        <f t="shared" si="8"/>
        <v>171.86429815395334</v>
      </c>
      <c r="AE51" s="9">
        <f t="shared" si="53"/>
        <v>0</v>
      </c>
      <c r="AF51" s="9">
        <f t="shared" si="10"/>
        <v>171.86429815395334</v>
      </c>
      <c r="AG51" s="9">
        <f t="shared" si="21"/>
        <v>10.500632923654319</v>
      </c>
      <c r="AH51" s="538">
        <f t="shared" si="35"/>
        <v>832.74812086047802</v>
      </c>
      <c r="AI51" s="549" t="str">
        <f t="shared" si="36"/>
        <v>normal</v>
      </c>
      <c r="AJ51" s="537" t="str">
        <f t="shared" si="37"/>
        <v>Jul</v>
      </c>
      <c r="AK51" s="447">
        <f t="shared" si="38"/>
        <v>2022</v>
      </c>
      <c r="AL51" s="447">
        <f t="shared" si="46"/>
        <v>41</v>
      </c>
      <c r="AM51" s="496">
        <f>IF(OR(التوصية!$B$248='بيانات للادخال'!$F$2,التوصية!$B$248='بيانات للادخال'!$F$3),AN51*(1+PNAVAT),IF(التوصية!$B$248='بيانات للادخال'!$F$4,(AN51-AQ51)+AQ51*(1+PNAVAT)))</f>
        <v>199.36258585858587</v>
      </c>
      <c r="AN51" s="496">
        <f t="shared" si="39"/>
        <v>171.86429815395334</v>
      </c>
      <c r="AO51" s="9">
        <f t="shared" si="57"/>
        <v>0</v>
      </c>
      <c r="AP51" s="9">
        <f t="shared" si="41"/>
        <v>171.86429815395334</v>
      </c>
      <c r="AQ51" s="9">
        <f t="shared" si="44"/>
        <v>13.856285679398093</v>
      </c>
      <c r="AR51" s="550">
        <f t="shared" si="45"/>
        <v>1153.7888102008508</v>
      </c>
      <c r="AS51" s="501" t="str">
        <f t="shared" si="0"/>
        <v>Feb</v>
      </c>
      <c r="AT51" s="495" t="str">
        <f t="shared" si="47"/>
        <v>normal</v>
      </c>
      <c r="AU51" s="539" t="str">
        <f t="shared" si="11"/>
        <v>Sep</v>
      </c>
      <c r="AV51" s="447">
        <f t="shared" si="12"/>
        <v>2022</v>
      </c>
      <c r="AW51" s="447" t="str">
        <f t="shared" si="22"/>
        <v>Sep 2022</v>
      </c>
      <c r="AX51" s="448">
        <f t="shared" si="42"/>
        <v>43</v>
      </c>
      <c r="AY51" s="496">
        <f>IF(OR(التوصية!$B$248='بيانات للادخال'!$F$2,التوصية!$B$248='بيانات للادخال'!$F$3),AZ51*(1+PNAVAT),IF(التوصية!$B$248='بيانات للادخال'!$F$4,(AZ51-BC51)+BC51*(1+PNAVAT)))</f>
        <v>239.23510303030307</v>
      </c>
      <c r="AZ51" s="496">
        <f t="shared" si="13"/>
        <v>206.23715778474403</v>
      </c>
      <c r="BA51" s="9">
        <f t="shared" si="54"/>
        <v>0</v>
      </c>
      <c r="BB51" s="9">
        <f t="shared" si="15"/>
        <v>206.23715778474403</v>
      </c>
      <c r="BC51" s="9">
        <f t="shared" si="23"/>
        <v>8.8674714668284711</v>
      </c>
      <c r="BD51" s="9">
        <f t="shared" si="43"/>
        <v>197.36968631791555</v>
      </c>
      <c r="BE51" s="9">
        <f t="shared" si="49"/>
        <v>605.28848624234229</v>
      </c>
      <c r="BF51" s="531">
        <f>IF($E$1='بيانات للادخال'!$M$2,IF(AND(OR(AX51=11+$Z$3,AX51=12+$Z$3,AX51=23+$Z$3,AX51=24+$Z$3,AX51=35+$Z$3,AX51=36+$Z$3,AX51=47+$Z$3,AX51=48+$Z$3,AX51=59+$Z$3,AX51=60+$Z$3),AX51&lt;=$G$3),$E$61/2,AY51),IF($E$1='بيانات للادخال'!$M$3,AC51))</f>
        <v>199.36258585858587</v>
      </c>
      <c r="BG51" s="547" t="str">
        <f t="shared" si="25"/>
        <v>Sep 2022</v>
      </c>
      <c r="BH51" s="541">
        <f t="shared" si="55"/>
        <v>239.23510303030307</v>
      </c>
      <c r="BI51" s="548">
        <f t="shared" si="56"/>
        <v>206.23715778474403</v>
      </c>
    </row>
    <row r="52" spans="1:61">
      <c r="A52" s="471" t="s">
        <v>273</v>
      </c>
      <c r="B52" s="554"/>
      <c r="G52" s="536">
        <f t="shared" si="28"/>
        <v>2022</v>
      </c>
      <c r="H52" s="537" t="str">
        <f t="shared" si="16"/>
        <v>Oct</v>
      </c>
      <c r="I52" s="447">
        <f t="shared" si="29"/>
        <v>44</v>
      </c>
      <c r="J52" s="496">
        <f>IF(OR(التوصية!$B$248='بيانات للادخال'!$F$2,التوصية!$B$248='بيانات للادخال'!$F$3),K52*(1+PNAVAT),IF(التوصية!$B$248='بيانات للادخال'!$F$4,(K52-N52)+N52*(1+PNAVAT)))</f>
        <v>199.36258585858587</v>
      </c>
      <c r="K52" s="496">
        <f t="shared" si="17"/>
        <v>171.86429815395334</v>
      </c>
      <c r="L52" s="9">
        <f t="shared" si="50"/>
        <v>0</v>
      </c>
      <c r="M52" s="9">
        <f t="shared" si="2"/>
        <v>171.86429815395334</v>
      </c>
      <c r="N52" s="9">
        <f t="shared" si="18"/>
        <v>8.7961761014875552</v>
      </c>
      <c r="O52" s="538">
        <f t="shared" si="30"/>
        <v>669.67999880801221</v>
      </c>
      <c r="P52" s="539" t="str">
        <f t="shared" si="3"/>
        <v>Oct</v>
      </c>
      <c r="Q52" s="447">
        <f t="shared" si="4"/>
        <v>2022</v>
      </c>
      <c r="R52" s="447">
        <f t="shared" si="31"/>
        <v>44</v>
      </c>
      <c r="S52" s="496">
        <f>IF(OR(التوصية!$B$248='بيانات للادخال'!$F$2,التوصية!$B$248='بيانات للادخال'!$F$3),T52*(1+PNAVAT),IF(التوصية!$B$248='بيانات للادخال'!$F$4,(T52-W52)+W52*(1+PNAVAT)))</f>
        <v>199.36258585858587</v>
      </c>
      <c r="T52" s="9">
        <f t="shared" si="19"/>
        <v>171.86429815395334</v>
      </c>
      <c r="U52" s="9">
        <f t="shared" si="51"/>
        <v>0</v>
      </c>
      <c r="V52" s="9">
        <f t="shared" si="6"/>
        <v>171.86429815395334</v>
      </c>
      <c r="W52" s="9">
        <f t="shared" si="20"/>
        <v>8.7961761014875552</v>
      </c>
      <c r="X52" s="9">
        <f t="shared" si="32"/>
        <v>669.67999880801221</v>
      </c>
      <c r="Y52" s="538">
        <f t="shared" si="33"/>
        <v>163.06812205246578</v>
      </c>
      <c r="Z52" s="494">
        <f t="shared" si="52"/>
        <v>2022</v>
      </c>
      <c r="AA52" s="537" t="str">
        <f t="shared" si="52"/>
        <v>Oct</v>
      </c>
      <c r="AB52" s="447">
        <f t="shared" si="34"/>
        <v>44</v>
      </c>
      <c r="AC52" s="496">
        <f>IF(OR(التوصية!$B$248='بيانات للادخال'!$F$2,التوصية!$B$248='بيانات للادخال'!$F$3),AD52*(1+PNAVAT),IF(التوصية!$B$248='بيانات للادخال'!$F$4,(AD52-AG52)+AG52*(1+PNAVAT)))</f>
        <v>199.36258585858587</v>
      </c>
      <c r="AD52" s="496">
        <f t="shared" si="8"/>
        <v>171.86429815395334</v>
      </c>
      <c r="AE52" s="9">
        <f t="shared" si="53"/>
        <v>0</v>
      </c>
      <c r="AF52" s="9">
        <f t="shared" si="10"/>
        <v>171.86429815395334</v>
      </c>
      <c r="AG52" s="9">
        <f t="shared" si="21"/>
        <v>8.7961761014875552</v>
      </c>
      <c r="AH52" s="538">
        <f t="shared" si="35"/>
        <v>669.67999880801221</v>
      </c>
      <c r="AI52" s="549" t="str">
        <f t="shared" si="36"/>
        <v>normal</v>
      </c>
      <c r="AJ52" s="537" t="str">
        <f t="shared" si="37"/>
        <v>Aug</v>
      </c>
      <c r="AK52" s="447">
        <f t="shared" si="38"/>
        <v>2022</v>
      </c>
      <c r="AL52" s="447">
        <f t="shared" si="46"/>
        <v>42</v>
      </c>
      <c r="AM52" s="496">
        <f>IF(OR(التوصية!$B$248='بيانات للادخال'!$F$2,التوصية!$B$248='بيانات للادخال'!$F$3),AN52*(1+PNAVAT),IF(التوصية!$B$248='بيانات للادخال'!$F$4,(AN52-AQ52)+AQ52*(1+PNAVAT)))</f>
        <v>199.36258585858587</v>
      </c>
      <c r="AN52" s="496">
        <f t="shared" si="39"/>
        <v>171.86429815395334</v>
      </c>
      <c r="AO52" s="9">
        <f t="shared" si="57"/>
        <v>0</v>
      </c>
      <c r="AP52" s="9">
        <f t="shared" si="41"/>
        <v>171.86429815395334</v>
      </c>
      <c r="AQ52" s="9">
        <f t="shared" si="44"/>
        <v>12.187274043879682</v>
      </c>
      <c r="AR52" s="550">
        <f t="shared" si="45"/>
        <v>994.11178609077706</v>
      </c>
      <c r="AS52" s="501" t="str">
        <f t="shared" si="0"/>
        <v>Mar</v>
      </c>
      <c r="AT52" s="495" t="str">
        <f t="shared" si="47"/>
        <v>normal</v>
      </c>
      <c r="AU52" s="539" t="str">
        <f t="shared" si="11"/>
        <v>Oct</v>
      </c>
      <c r="AV52" s="447">
        <f t="shared" si="12"/>
        <v>2022</v>
      </c>
      <c r="AW52" s="447" t="str">
        <f t="shared" si="22"/>
        <v>Oct 2022</v>
      </c>
      <c r="AX52" s="448">
        <f t="shared" si="42"/>
        <v>44</v>
      </c>
      <c r="AY52" s="496">
        <f>IF(OR(التوصية!$B$248='بيانات للادخال'!$F$2,التوصية!$B$248='بيانات للادخال'!$F$3),AZ52*(1+PNAVAT),IF(التوصية!$B$248='بيانات للادخال'!$F$4,(AZ52-BC52)+BC52*(1+PNAVAT)))</f>
        <v>239.23510303030307</v>
      </c>
      <c r="AZ52" s="496">
        <f t="shared" si="13"/>
        <v>206.23715778474403</v>
      </c>
      <c r="BA52" s="9">
        <f t="shared" si="54"/>
        <v>0</v>
      </c>
      <c r="BB52" s="9">
        <f t="shared" si="15"/>
        <v>206.23715778474403</v>
      </c>
      <c r="BC52" s="9">
        <f t="shared" si="23"/>
        <v>6.6870039631357798</v>
      </c>
      <c r="BD52" s="9">
        <f t="shared" si="43"/>
        <v>199.55015382160826</v>
      </c>
      <c r="BE52" s="9">
        <f t="shared" si="49"/>
        <v>405.73833242073403</v>
      </c>
      <c r="BF52" s="531">
        <f>IF($E$1='بيانات للادخال'!$M$2,IF(AND(OR(AX52=11+$Z$3,AX52=12+$Z$3,AX52=23+$Z$3,AX52=24+$Z$3,AX52=35+$Z$3,AX52=36+$Z$3,AX52=47+$Z$3,AX52=48+$Z$3,AX52=59+$Z$3,AX52=60+$Z$3),AX52&lt;=$G$3),$E$61/2,AY52),IF($E$1='بيانات للادخال'!$M$3,AC52))</f>
        <v>199.36258585858587</v>
      </c>
      <c r="BG52" s="547" t="str">
        <f t="shared" si="25"/>
        <v>Oct 2022</v>
      </c>
      <c r="BH52" s="541">
        <f t="shared" si="55"/>
        <v>239.23510303030307</v>
      </c>
      <c r="BI52" s="548">
        <f t="shared" si="56"/>
        <v>206.23715778474403</v>
      </c>
    </row>
    <row r="53" spans="1:61">
      <c r="A53" s="471" t="s">
        <v>274</v>
      </c>
      <c r="B53" s="554"/>
      <c r="D53" s="1405" t="s">
        <v>626</v>
      </c>
      <c r="E53" s="1406"/>
      <c r="G53" s="536">
        <f t="shared" si="28"/>
        <v>2022</v>
      </c>
      <c r="H53" s="537" t="str">
        <f t="shared" si="16"/>
        <v>Nov</v>
      </c>
      <c r="I53" s="447">
        <f t="shared" si="29"/>
        <v>45</v>
      </c>
      <c r="J53" s="496">
        <f>IF(OR(التوصية!$B$248='بيانات للادخال'!$F$2,التوصية!$B$248='بيانات للادخال'!$F$3),K53*(1+PNAVAT),IF(التوصية!$B$248='بيانات للادخال'!$F$4,(K53-N53)+N53*(1+PNAVAT)))</f>
        <v>199.36258585858587</v>
      </c>
      <c r="K53" s="496">
        <f t="shared" si="17"/>
        <v>171.86429815395334</v>
      </c>
      <c r="L53" s="9">
        <f t="shared" si="50"/>
        <v>0</v>
      </c>
      <c r="M53" s="9">
        <f t="shared" si="2"/>
        <v>171.86429815395334</v>
      </c>
      <c r="N53" s="9">
        <f t="shared" si="18"/>
        <v>7.0737153931641119</v>
      </c>
      <c r="O53" s="538">
        <f t="shared" si="30"/>
        <v>504.88941604722299</v>
      </c>
      <c r="P53" s="539" t="str">
        <f t="shared" si="3"/>
        <v>Nov</v>
      </c>
      <c r="Q53" s="447">
        <f t="shared" si="4"/>
        <v>2022</v>
      </c>
      <c r="R53" s="447">
        <f t="shared" si="31"/>
        <v>45</v>
      </c>
      <c r="S53" s="496">
        <f>IF(OR(التوصية!$B$248='بيانات للادخال'!$F$2,التوصية!$B$248='بيانات للادخال'!$F$3),T53*(1+PNAVAT),IF(التوصية!$B$248='بيانات للادخال'!$F$4,(T53-W53)+W53*(1+PNAVAT)))</f>
        <v>199.36258585858587</v>
      </c>
      <c r="T53" s="9">
        <f t="shared" si="19"/>
        <v>171.86429815395334</v>
      </c>
      <c r="U53" s="9">
        <f t="shared" si="51"/>
        <v>0</v>
      </c>
      <c r="V53" s="9">
        <f t="shared" si="6"/>
        <v>171.86429815395334</v>
      </c>
      <c r="W53" s="9">
        <f t="shared" si="20"/>
        <v>7.0737153931641119</v>
      </c>
      <c r="X53" s="9">
        <f t="shared" si="32"/>
        <v>504.88941604722299</v>
      </c>
      <c r="Y53" s="538">
        <f t="shared" si="33"/>
        <v>164.79058276078922</v>
      </c>
      <c r="Z53" s="494">
        <f t="shared" si="52"/>
        <v>2022</v>
      </c>
      <c r="AA53" s="537" t="str">
        <f t="shared" si="52"/>
        <v>Nov</v>
      </c>
      <c r="AB53" s="447">
        <f t="shared" si="34"/>
        <v>45</v>
      </c>
      <c r="AC53" s="496">
        <f>IF(OR(التوصية!$B$248='بيانات للادخال'!$F$2,التوصية!$B$248='بيانات للادخال'!$F$3),AD53*(1+PNAVAT),IF(التوصية!$B$248='بيانات للادخال'!$F$4,(AD53-AG53)+AG53*(1+PNAVAT)))</f>
        <v>199.36258585858587</v>
      </c>
      <c r="AD53" s="496">
        <f t="shared" si="8"/>
        <v>171.86429815395334</v>
      </c>
      <c r="AE53" s="9">
        <f t="shared" si="53"/>
        <v>0</v>
      </c>
      <c r="AF53" s="9">
        <f t="shared" si="10"/>
        <v>171.86429815395334</v>
      </c>
      <c r="AG53" s="9">
        <f t="shared" si="21"/>
        <v>7.0737153931641119</v>
      </c>
      <c r="AH53" s="538">
        <f t="shared" si="35"/>
        <v>504.88941604722299</v>
      </c>
      <c r="AI53" s="549" t="str">
        <f t="shared" si="36"/>
        <v>normal</v>
      </c>
      <c r="AJ53" s="537" t="str">
        <f t="shared" si="37"/>
        <v>Sep</v>
      </c>
      <c r="AK53" s="447">
        <f t="shared" si="38"/>
        <v>2022</v>
      </c>
      <c r="AL53" s="447">
        <f t="shared" si="46"/>
        <v>43</v>
      </c>
      <c r="AM53" s="496">
        <f>IF(OR(التوصية!$B$248='بيانات للادخال'!$F$2,التوصية!$B$248='بيانات للادخال'!$F$3),AN53*(1+PNAVAT),IF(التوصية!$B$248='بيانات للادخال'!$F$4,(AN53-AQ53)+AQ53*(1+PNAVAT)))</f>
        <v>199.36258585858587</v>
      </c>
      <c r="AN53" s="496">
        <f t="shared" si="39"/>
        <v>171.86429815395334</v>
      </c>
      <c r="AO53" s="9">
        <f t="shared" si="57"/>
        <v>0</v>
      </c>
      <c r="AP53" s="9">
        <f t="shared" si="41"/>
        <v>171.86429815395334</v>
      </c>
      <c r="AQ53" s="9">
        <f t="shared" si="44"/>
        <v>10.500632923654319</v>
      </c>
      <c r="AR53" s="550">
        <f t="shared" si="45"/>
        <v>832.74812086047802</v>
      </c>
      <c r="AS53" s="501" t="str">
        <f t="shared" si="0"/>
        <v>Apr</v>
      </c>
      <c r="AT53" s="495" t="str">
        <f t="shared" si="47"/>
        <v>normal</v>
      </c>
      <c r="AU53" s="539" t="str">
        <f t="shared" si="11"/>
        <v>Nov</v>
      </c>
      <c r="AV53" s="447">
        <f t="shared" si="12"/>
        <v>2022</v>
      </c>
      <c r="AW53" s="447" t="str">
        <f t="shared" si="22"/>
        <v>Nov 2022</v>
      </c>
      <c r="AX53" s="448">
        <f t="shared" si="42"/>
        <v>45</v>
      </c>
      <c r="AY53" s="496">
        <f>IF(OR(التوصية!$B$248='بيانات للادخال'!$F$2,التوصية!$B$248='بيانات للادخال'!$F$3),AZ53*(1+PNAVAT),IF(التوصية!$B$248='بيانات للادخال'!$F$4,(AZ53-BC53)+BC53*(1+PNAVAT)))</f>
        <v>239.23510303030307</v>
      </c>
      <c r="AZ53" s="496">
        <f t="shared" si="13"/>
        <v>206.23715778474403</v>
      </c>
      <c r="BA53" s="9">
        <f t="shared" si="54"/>
        <v>0</v>
      </c>
      <c r="BB53" s="9">
        <f t="shared" si="15"/>
        <v>206.23715778474403</v>
      </c>
      <c r="BC53" s="9">
        <f t="shared" si="23"/>
        <v>4.4824474586276279</v>
      </c>
      <c r="BD53" s="9">
        <f t="shared" si="43"/>
        <v>201.7547103261164</v>
      </c>
      <c r="BE53" s="9">
        <f t="shared" si="49"/>
        <v>203.98362209461763</v>
      </c>
      <c r="BF53" s="531">
        <f>IF($E$1='بيانات للادخال'!$M$2,IF(AND(OR(AX53=11+$Z$3,AX53=12+$Z$3,AX53=23+$Z$3,AX53=24+$Z$3,AX53=35+$Z$3,AX53=36+$Z$3,AX53=47+$Z$3,AX53=48+$Z$3,AX53=59+$Z$3,AX53=60+$Z$3),AX53&lt;=$G$3),$E$61/2,AY53),IF($E$1='بيانات للادخال'!$M$3,AC53))</f>
        <v>199.36258585858587</v>
      </c>
      <c r="BG53" s="547" t="str">
        <f t="shared" si="25"/>
        <v>Nov 2022</v>
      </c>
      <c r="BH53" s="541">
        <f t="shared" si="55"/>
        <v>239.23510303030307</v>
      </c>
      <c r="BI53" s="548">
        <f t="shared" si="56"/>
        <v>206.23715778474403</v>
      </c>
    </row>
    <row r="54" spans="1:61">
      <c r="A54" s="471" t="s">
        <v>275</v>
      </c>
      <c r="B54" s="554"/>
      <c r="D54" s="1403" t="s">
        <v>308</v>
      </c>
      <c r="E54" s="1404"/>
      <c r="G54" s="536">
        <f t="shared" si="28"/>
        <v>2022</v>
      </c>
      <c r="H54" s="537" t="str">
        <f t="shared" si="16"/>
        <v>Dec</v>
      </c>
      <c r="I54" s="447">
        <f t="shared" si="29"/>
        <v>46</v>
      </c>
      <c r="J54" s="496">
        <f>IF(OR(التوصية!$B$248='بيانات للادخال'!$F$2,التوصية!$B$248='بيانات للادخال'!$F$3),K54*(1+PNAVAT),IF(التوصية!$B$248='بيانات للادخال'!$F$4,(K54-N54)+N54*(1+PNAVAT)))</f>
        <v>199.36258585858587</v>
      </c>
      <c r="K54" s="496">
        <f t="shared" si="17"/>
        <v>171.86429815395334</v>
      </c>
      <c r="L54" s="9">
        <f t="shared" si="50"/>
        <v>0</v>
      </c>
      <c r="M54" s="9">
        <f t="shared" si="2"/>
        <v>171.86429815395334</v>
      </c>
      <c r="N54" s="9">
        <f t="shared" si="18"/>
        <v>5.3330606267110019</v>
      </c>
      <c r="O54" s="538">
        <f t="shared" si="30"/>
        <v>338.35817851998064</v>
      </c>
      <c r="P54" s="539" t="str">
        <f t="shared" si="3"/>
        <v>Dec</v>
      </c>
      <c r="Q54" s="447">
        <f t="shared" si="4"/>
        <v>2022</v>
      </c>
      <c r="R54" s="447">
        <f t="shared" si="31"/>
        <v>46</v>
      </c>
      <c r="S54" s="496">
        <f>IF(OR(التوصية!$B$248='بيانات للادخال'!$F$2,التوصية!$B$248='بيانات للادخال'!$F$3),T54*(1+PNAVAT),IF(التوصية!$B$248='بيانات للادخال'!$F$4,(T54-W54)+W54*(1+PNAVAT)))</f>
        <v>199.36258585858587</v>
      </c>
      <c r="T54" s="9">
        <f t="shared" si="19"/>
        <v>171.86429815395334</v>
      </c>
      <c r="U54" s="9">
        <f t="shared" si="51"/>
        <v>0</v>
      </c>
      <c r="V54" s="9">
        <f t="shared" si="6"/>
        <v>171.86429815395334</v>
      </c>
      <c r="W54" s="9">
        <f t="shared" si="20"/>
        <v>5.3330606267110019</v>
      </c>
      <c r="X54" s="9">
        <f t="shared" si="32"/>
        <v>338.35817851998064</v>
      </c>
      <c r="Y54" s="538">
        <f t="shared" si="33"/>
        <v>166.53123752724235</v>
      </c>
      <c r="Z54" s="494">
        <f t="shared" si="52"/>
        <v>2022</v>
      </c>
      <c r="AA54" s="537" t="str">
        <f t="shared" si="52"/>
        <v>Dec</v>
      </c>
      <c r="AB54" s="447">
        <f t="shared" si="34"/>
        <v>46</v>
      </c>
      <c r="AC54" s="496">
        <f>IF(OR(التوصية!$B$248='بيانات للادخال'!$F$2,التوصية!$B$248='بيانات للادخال'!$F$3),AD54*(1+PNAVAT),IF(التوصية!$B$248='بيانات للادخال'!$F$4,(AD54-AG54)+AG54*(1+PNAVAT)))</f>
        <v>199.36258585858587</v>
      </c>
      <c r="AD54" s="496">
        <f t="shared" si="8"/>
        <v>171.86429815395334</v>
      </c>
      <c r="AE54" s="9">
        <f t="shared" si="53"/>
        <v>0</v>
      </c>
      <c r="AF54" s="9">
        <f t="shared" si="10"/>
        <v>171.86429815395334</v>
      </c>
      <c r="AG54" s="9">
        <f t="shared" si="21"/>
        <v>5.3330606267110019</v>
      </c>
      <c r="AH54" s="538">
        <f t="shared" si="35"/>
        <v>338.35817851998064</v>
      </c>
      <c r="AI54" s="549" t="str">
        <f t="shared" si="36"/>
        <v>normal</v>
      </c>
      <c r="AJ54" s="537" t="str">
        <f t="shared" si="37"/>
        <v>Oct</v>
      </c>
      <c r="AK54" s="447">
        <f t="shared" si="38"/>
        <v>2022</v>
      </c>
      <c r="AL54" s="447">
        <f t="shared" si="46"/>
        <v>44</v>
      </c>
      <c r="AM54" s="496">
        <f>IF(OR(التوصية!$B$248='بيانات للادخال'!$F$2,التوصية!$B$248='بيانات للادخال'!$F$3),AN54*(1+PNAVAT),IF(التوصية!$B$248='بيانات للادخال'!$F$4,(AN54-AQ54)+AQ54*(1+PNAVAT)))</f>
        <v>199.36258585858587</v>
      </c>
      <c r="AN54" s="496">
        <f t="shared" si="39"/>
        <v>171.86429815395334</v>
      </c>
      <c r="AO54" s="9">
        <f t="shared" si="57"/>
        <v>0</v>
      </c>
      <c r="AP54" s="9">
        <f t="shared" si="41"/>
        <v>171.86429815395334</v>
      </c>
      <c r="AQ54" s="9">
        <f t="shared" si="44"/>
        <v>8.7961761014875552</v>
      </c>
      <c r="AR54" s="550">
        <f t="shared" si="45"/>
        <v>669.67999880801221</v>
      </c>
      <c r="AS54" s="501" t="str">
        <f t="shared" si="0"/>
        <v>May</v>
      </c>
      <c r="AT54" s="495" t="str">
        <f t="shared" si="47"/>
        <v>normal</v>
      </c>
      <c r="AU54" s="539" t="str">
        <f t="shared" si="11"/>
        <v>Dec</v>
      </c>
      <c r="AV54" s="447">
        <f t="shared" si="12"/>
        <v>2022</v>
      </c>
      <c r="AW54" s="447" t="str">
        <f t="shared" si="22"/>
        <v>Dec 2022</v>
      </c>
      <c r="AX54" s="448">
        <f t="shared" si="42"/>
        <v>46</v>
      </c>
      <c r="AY54" s="496">
        <f>IF(OR(التوصية!$B$248='بيانات للادخال'!$F$2,التوصية!$B$248='بيانات للادخال'!$F$3),AZ54*(1+PNAVAT),IF(التوصية!$B$248='بيانات للادخال'!$F$4,(AZ54-BC54)+BC54*(1+PNAVAT)))</f>
        <v>239.23510303030307</v>
      </c>
      <c r="AZ54" s="496">
        <f t="shared" si="13"/>
        <v>206.23715778474403</v>
      </c>
      <c r="BA54" s="9">
        <f t="shared" si="54"/>
        <v>0</v>
      </c>
      <c r="BB54" s="9">
        <f t="shared" si="15"/>
        <v>206.23715778474403</v>
      </c>
      <c r="BC54" s="9">
        <f t="shared" si="23"/>
        <v>2.2535358269071262</v>
      </c>
      <c r="BD54" s="9">
        <f t="shared" si="43"/>
        <v>203.9836219578369</v>
      </c>
      <c r="BE54" s="9">
        <f t="shared" si="49"/>
        <v>1.3678072718903422E-7</v>
      </c>
      <c r="BF54" s="531">
        <f>IF($E$1='بيانات للادخال'!$M$2,IF(AND(OR(AX54=11+$Z$3,AX54=12+$Z$3,AX54=23+$Z$3,AX54=24+$Z$3,AX54=35+$Z$3,AX54=36+$Z$3,AX54=47+$Z$3,AX54=48+$Z$3,AX54=59+$Z$3,AX54=60+$Z$3),AX54&lt;=$G$3),$E$61/2,AY54),IF($E$1='بيانات للادخال'!$M$3,AC54))</f>
        <v>199.36258585858587</v>
      </c>
      <c r="BG54" s="547" t="str">
        <f t="shared" si="25"/>
        <v>Dec 2022</v>
      </c>
      <c r="BH54" s="541">
        <f t="shared" si="55"/>
        <v>239.23510303030307</v>
      </c>
      <c r="BI54" s="548">
        <f t="shared" si="56"/>
        <v>206.23715778474403</v>
      </c>
    </row>
    <row r="55" spans="1:61">
      <c r="A55" s="471" t="s">
        <v>276</v>
      </c>
      <c r="B55" s="554"/>
      <c r="D55" s="121" t="s">
        <v>9</v>
      </c>
      <c r="E55" s="22">
        <f>E9+E19+E29+E39+E49</f>
        <v>6329.9111807732506</v>
      </c>
      <c r="G55" s="536">
        <f t="shared" si="28"/>
        <v>2023</v>
      </c>
      <c r="H55" s="537" t="str">
        <f t="shared" si="16"/>
        <v>Jan</v>
      </c>
      <c r="I55" s="447">
        <f t="shared" si="29"/>
        <v>47</v>
      </c>
      <c r="J55" s="496">
        <f>IF(OR(التوصية!$B$248='بيانات للادخال'!$F$2,التوصية!$B$248='بيانات للادخال'!$F$3),K55*(1+PNAVAT),IF(التوصية!$B$248='بيانات للادخال'!$F$4,(K55-N55)+N55*(1+PNAVAT)))</f>
        <v>199.36258585858587</v>
      </c>
      <c r="K55" s="496">
        <f t="shared" si="17"/>
        <v>171.86429815395334</v>
      </c>
      <c r="L55" s="9">
        <f t="shared" si="50"/>
        <v>0</v>
      </c>
      <c r="M55" s="9">
        <f t="shared" si="2"/>
        <v>171.86429815395334</v>
      </c>
      <c r="N55" s="9">
        <f t="shared" si="18"/>
        <v>3.5740196214011846</v>
      </c>
      <c r="O55" s="538">
        <f t="shared" si="30"/>
        <v>170.06789998742849</v>
      </c>
      <c r="P55" s="539" t="str">
        <f t="shared" si="3"/>
        <v>Jan</v>
      </c>
      <c r="Q55" s="447">
        <f t="shared" si="4"/>
        <v>2023</v>
      </c>
      <c r="R55" s="447">
        <f t="shared" si="31"/>
        <v>47</v>
      </c>
      <c r="S55" s="496">
        <f>IF(OR(التوصية!$B$248='بيانات للادخال'!$F$2,التوصية!$B$248='بيانات للادخال'!$F$3),T55*(1+PNAVAT),IF(التوصية!$B$248='بيانات للادخال'!$F$4,(T55-W55)+W55*(1+PNAVAT)))</f>
        <v>199.36258585858587</v>
      </c>
      <c r="T55" s="9">
        <f t="shared" si="19"/>
        <v>171.86429815395334</v>
      </c>
      <c r="U55" s="9">
        <f t="shared" si="51"/>
        <v>0</v>
      </c>
      <c r="V55" s="9">
        <f t="shared" si="6"/>
        <v>171.86429815395334</v>
      </c>
      <c r="W55" s="9">
        <f t="shared" si="20"/>
        <v>3.5740196214011846</v>
      </c>
      <c r="X55" s="9">
        <f t="shared" si="32"/>
        <v>170.06789998742849</v>
      </c>
      <c r="Y55" s="538">
        <f t="shared" si="33"/>
        <v>168.29027853255215</v>
      </c>
      <c r="Z55" s="494">
        <f t="shared" si="52"/>
        <v>2023</v>
      </c>
      <c r="AA55" s="537" t="str">
        <f t="shared" si="52"/>
        <v>Jan</v>
      </c>
      <c r="AB55" s="447">
        <f t="shared" si="34"/>
        <v>47</v>
      </c>
      <c r="AC55" s="496">
        <f>IF(OR(التوصية!$B$248='بيانات للادخال'!$F$2,التوصية!$B$248='بيانات للادخال'!$F$3),AD55*(1+PNAVAT),IF(التوصية!$B$248='بيانات للادخال'!$F$4,(AD55-AG55)+AG55*(1+PNAVAT)))</f>
        <v>199.36258585858587</v>
      </c>
      <c r="AD55" s="496">
        <f t="shared" si="8"/>
        <v>171.86429815395334</v>
      </c>
      <c r="AE55" s="9">
        <f t="shared" si="53"/>
        <v>0</v>
      </c>
      <c r="AF55" s="9">
        <f t="shared" si="10"/>
        <v>171.86429815395334</v>
      </c>
      <c r="AG55" s="9">
        <f t="shared" si="21"/>
        <v>3.5740196214011846</v>
      </c>
      <c r="AH55" s="538">
        <f t="shared" si="35"/>
        <v>170.06789998742849</v>
      </c>
      <c r="AI55" s="549" t="str">
        <f t="shared" si="36"/>
        <v>normal</v>
      </c>
      <c r="AJ55" s="537" t="str">
        <f t="shared" si="37"/>
        <v>Nov</v>
      </c>
      <c r="AK55" s="447">
        <f t="shared" si="38"/>
        <v>2022</v>
      </c>
      <c r="AL55" s="447">
        <f t="shared" si="46"/>
        <v>45</v>
      </c>
      <c r="AM55" s="496">
        <f>IF(OR(التوصية!$B$248='بيانات للادخال'!$F$2,التوصية!$B$248='بيانات للادخال'!$F$3),AN55*(1+PNAVAT),IF(التوصية!$B$248='بيانات للادخال'!$F$4,(AN55-AQ55)+AQ55*(1+PNAVAT)))</f>
        <v>199.36258585858587</v>
      </c>
      <c r="AN55" s="496">
        <f t="shared" si="39"/>
        <v>171.86429815395334</v>
      </c>
      <c r="AO55" s="9">
        <f t="shared" si="57"/>
        <v>0</v>
      </c>
      <c r="AP55" s="9">
        <f t="shared" si="41"/>
        <v>171.86429815395334</v>
      </c>
      <c r="AQ55" s="9">
        <f t="shared" si="44"/>
        <v>7.0737153931641119</v>
      </c>
      <c r="AR55" s="550">
        <f t="shared" si="45"/>
        <v>504.88941604722299</v>
      </c>
      <c r="AS55" s="501" t="str">
        <f t="shared" si="0"/>
        <v>Jun</v>
      </c>
      <c r="AT55" s="495" t="str">
        <f t="shared" si="47"/>
        <v>normal</v>
      </c>
      <c r="AU55" s="539" t="str">
        <f t="shared" si="11"/>
        <v>Jan</v>
      </c>
      <c r="AV55" s="447">
        <f t="shared" si="12"/>
        <v>2023</v>
      </c>
      <c r="AW55" s="447" t="str">
        <f t="shared" si="22"/>
        <v>Jan 2023</v>
      </c>
      <c r="AX55" s="448">
        <f t="shared" si="42"/>
        <v>47</v>
      </c>
      <c r="AY55" s="496">
        <f>IF(OR(التوصية!$B$248='بيانات للادخال'!$F$2,التوصية!$B$248='بيانات للادخال'!$F$3),AZ55*(1+PNAVAT),IF(التوصية!$B$248='بيانات للادخال'!$F$4,(AZ55-BC55)+BC55*(1+PNAVAT)))</f>
        <v>0</v>
      </c>
      <c r="AZ55" s="496">
        <f t="shared" si="13"/>
        <v>0</v>
      </c>
      <c r="BA55" s="9">
        <f t="shared" si="54"/>
        <v>0</v>
      </c>
      <c r="BB55" s="9">
        <f t="shared" si="15"/>
        <v>0</v>
      </c>
      <c r="BC55" s="9">
        <f t="shared" si="23"/>
        <v>1.5111030286927706E-9</v>
      </c>
      <c r="BD55" s="9">
        <f t="shared" si="43"/>
        <v>-1.5111030286927706E-9</v>
      </c>
      <c r="BE55" s="9">
        <f t="shared" si="49"/>
        <v>1.3829183021772698E-7</v>
      </c>
      <c r="BF55" s="531">
        <f>IF($E$1='بيانات للادخال'!$M$2,IF(AND(OR(AX55=11+$Z$3,AX55=12+$Z$3,AX55=23+$Z$3,AX55=24+$Z$3,AX55=35+$Z$3,AX55=36+$Z$3,AX55=47+$Z$3,AX55=48+$Z$3,AX55=59+$Z$3,AX55=60+$Z$3),AX55&lt;=$G$3),$E$61/2,AY55),IF($E$1='بيانات للادخال'!$M$3,AC55))</f>
        <v>199.36258585858587</v>
      </c>
      <c r="BG55" s="547" t="str">
        <f t="shared" si="25"/>
        <v>Jan 2023</v>
      </c>
      <c r="BH55" s="541">
        <f t="shared" si="55"/>
        <v>0</v>
      </c>
      <c r="BI55" s="548">
        <f t="shared" si="56"/>
        <v>0</v>
      </c>
    </row>
    <row r="56" spans="1:61">
      <c r="A56" s="471" t="s">
        <v>277</v>
      </c>
      <c r="B56" s="554"/>
      <c r="D56" s="121" t="s">
        <v>10</v>
      </c>
      <c r="E56" s="22">
        <v>100</v>
      </c>
      <c r="G56" s="536">
        <f t="shared" si="28"/>
        <v>2023</v>
      </c>
      <c r="H56" s="537" t="str">
        <f t="shared" si="16"/>
        <v>Feb</v>
      </c>
      <c r="I56" s="447">
        <f t="shared" si="29"/>
        <v>48</v>
      </c>
      <c r="J56" s="496">
        <f>IF(OR(التوصية!$B$248='بيانات للادخال'!$F$2,التوصية!$B$248='بيانات للادخال'!$F$3),K56*(1+PNAVAT),IF(التوصية!$B$248='بيانات للادخال'!$F$4,(K56-N56)+N56*(1+PNAVAT)))</f>
        <v>199.36258585858587</v>
      </c>
      <c r="K56" s="496">
        <f t="shared" si="17"/>
        <v>171.86429815395334</v>
      </c>
      <c r="L56" s="9">
        <f t="shared" si="50"/>
        <v>0</v>
      </c>
      <c r="M56" s="9">
        <f t="shared" si="2"/>
        <v>171.86429815395334</v>
      </c>
      <c r="N56" s="9">
        <f t="shared" si="18"/>
        <v>1.796398166535438</v>
      </c>
      <c r="O56" s="538">
        <f t="shared" si="30"/>
        <v>1.0572875908110291E-11</v>
      </c>
      <c r="P56" s="539" t="str">
        <f t="shared" si="3"/>
        <v>Feb</v>
      </c>
      <c r="Q56" s="447">
        <f t="shared" si="4"/>
        <v>2023</v>
      </c>
      <c r="R56" s="447">
        <f t="shared" si="31"/>
        <v>48</v>
      </c>
      <c r="S56" s="496">
        <f>IF(OR(التوصية!$B$248='بيانات للادخال'!$F$2,التوصية!$B$248='بيانات للادخال'!$F$3),T56*(1+PNAVAT),IF(التوصية!$B$248='بيانات للادخال'!$F$4,(T56-W56)+W56*(1+PNAVAT)))</f>
        <v>199.36258585858587</v>
      </c>
      <c r="T56" s="9">
        <f t="shared" si="19"/>
        <v>171.86429815395334</v>
      </c>
      <c r="U56" s="9">
        <f t="shared" si="51"/>
        <v>0</v>
      </c>
      <c r="V56" s="9">
        <f t="shared" si="6"/>
        <v>171.86429815395334</v>
      </c>
      <c r="W56" s="9">
        <f t="shared" si="20"/>
        <v>1.796398166535438</v>
      </c>
      <c r="X56" s="9">
        <f t="shared" si="32"/>
        <v>1.0572875908110291E-11</v>
      </c>
      <c r="Y56" s="538">
        <f t="shared" si="33"/>
        <v>170.06789998741792</v>
      </c>
      <c r="Z56" s="494">
        <f t="shared" si="52"/>
        <v>2023</v>
      </c>
      <c r="AA56" s="537" t="str">
        <f t="shared" si="52"/>
        <v>Feb</v>
      </c>
      <c r="AB56" s="447">
        <f t="shared" si="34"/>
        <v>48</v>
      </c>
      <c r="AC56" s="496">
        <f>IF(OR(التوصية!$B$248='بيانات للادخال'!$F$2,التوصية!$B$248='بيانات للادخال'!$F$3),AD56*(1+PNAVAT),IF(التوصية!$B$248='بيانات للادخال'!$F$4,(AD56-AG56)+AG56*(1+PNAVAT)))</f>
        <v>199.36258585858587</v>
      </c>
      <c r="AD56" s="496">
        <f t="shared" si="8"/>
        <v>171.86429815395334</v>
      </c>
      <c r="AE56" s="9">
        <f t="shared" si="53"/>
        <v>0</v>
      </c>
      <c r="AF56" s="9">
        <f t="shared" si="10"/>
        <v>171.86429815395334</v>
      </c>
      <c r="AG56" s="9">
        <f t="shared" si="21"/>
        <v>1.796398166535438</v>
      </c>
      <c r="AH56" s="538">
        <f t="shared" si="35"/>
        <v>1.0572875908110291E-11</v>
      </c>
      <c r="AI56" s="549" t="str">
        <f t="shared" si="36"/>
        <v>normal</v>
      </c>
      <c r="AJ56" s="537" t="str">
        <f t="shared" si="37"/>
        <v>Dec</v>
      </c>
      <c r="AK56" s="447">
        <f t="shared" si="38"/>
        <v>2022</v>
      </c>
      <c r="AL56" s="447">
        <f t="shared" si="46"/>
        <v>46</v>
      </c>
      <c r="AM56" s="496">
        <f>IF(OR(التوصية!$B$248='بيانات للادخال'!$F$2,التوصية!$B$248='بيانات للادخال'!$F$3),AN56*(1+PNAVAT),IF(التوصية!$B$248='بيانات للادخال'!$F$4,(AN56-AQ56)+AQ56*(1+PNAVAT)))</f>
        <v>199.36258585858587</v>
      </c>
      <c r="AN56" s="496">
        <f t="shared" si="39"/>
        <v>171.86429815395334</v>
      </c>
      <c r="AO56" s="9">
        <f t="shared" si="57"/>
        <v>0</v>
      </c>
      <c r="AP56" s="9">
        <f t="shared" si="41"/>
        <v>171.86429815395334</v>
      </c>
      <c r="AQ56" s="9">
        <f t="shared" si="44"/>
        <v>5.3330606267110019</v>
      </c>
      <c r="AR56" s="550">
        <f t="shared" si="45"/>
        <v>338.35817851998064</v>
      </c>
      <c r="AS56" s="501" t="str">
        <f t="shared" si="0"/>
        <v>Jul</v>
      </c>
      <c r="AT56" s="495" t="str">
        <f t="shared" si="47"/>
        <v>normal</v>
      </c>
      <c r="AU56" s="539" t="str">
        <f t="shared" si="11"/>
        <v>Feb</v>
      </c>
      <c r="AV56" s="447">
        <f t="shared" si="12"/>
        <v>2023</v>
      </c>
      <c r="AW56" s="447" t="str">
        <f t="shared" si="22"/>
        <v>Feb 2023</v>
      </c>
      <c r="AX56" s="448">
        <f t="shared" si="42"/>
        <v>48</v>
      </c>
      <c r="AY56" s="496">
        <f>IF(OR(التوصية!$B$248='بيانات للادخال'!$F$2,التوصية!$B$248='بيانات للادخال'!$F$3),AZ56*(1+PNAVAT),IF(التوصية!$B$248='بيانات للادخال'!$F$4,(AZ56-BC56)+BC56*(1+PNAVAT)))</f>
        <v>0</v>
      </c>
      <c r="AZ56" s="496">
        <f t="shared" si="13"/>
        <v>0</v>
      </c>
      <c r="BA56" s="9">
        <f t="shared" si="54"/>
        <v>0</v>
      </c>
      <c r="BB56" s="9">
        <f t="shared" si="15"/>
        <v>0</v>
      </c>
      <c r="BC56" s="9">
        <f t="shared" si="23"/>
        <v>1.5277971376527901E-9</v>
      </c>
      <c r="BD56" s="9">
        <f t="shared" si="43"/>
        <v>-1.5277971376527901E-9</v>
      </c>
      <c r="BE56" s="9">
        <f t="shared" si="49"/>
        <v>1.3981962735537978E-7</v>
      </c>
      <c r="BF56" s="531">
        <f>IF($E$1='بيانات للادخال'!$M$2,IF(AND(OR(AX56=11+$Z$3,AX56=12+$Z$3,AX56=23+$Z$3,AX56=24+$Z$3,AX56=35+$Z$3,AX56=36+$Z$3,AX56=47+$Z$3,AX56=48+$Z$3,AX56=59+$Z$3,AX56=60+$Z$3),AX56&lt;=$G$3),$E$61/2,AY56),IF($E$1='بيانات للادخال'!$M$3,AC56))</f>
        <v>199.36258585858587</v>
      </c>
      <c r="BG56" s="547" t="str">
        <f t="shared" si="25"/>
        <v>Feb 2023</v>
      </c>
      <c r="BH56" s="541">
        <f t="shared" si="55"/>
        <v>0</v>
      </c>
      <c r="BI56" s="548">
        <f t="shared" si="56"/>
        <v>0</v>
      </c>
    </row>
    <row r="57" spans="1:61">
      <c r="A57" s="471" t="s">
        <v>278</v>
      </c>
      <c r="B57" s="554"/>
      <c r="D57" s="121" t="s">
        <v>627</v>
      </c>
      <c r="E57" s="22"/>
      <c r="G57" s="536">
        <f t="shared" si="28"/>
        <v>2023</v>
      </c>
      <c r="H57" s="537" t="str">
        <f t="shared" si="16"/>
        <v>Mar</v>
      </c>
      <c r="I57" s="447">
        <f t="shared" si="29"/>
        <v>49</v>
      </c>
      <c r="J57" s="496">
        <f>IF(OR(التوصية!$B$248='بيانات للادخال'!$F$2,التوصية!$B$248='بيانات للادخال'!$F$3),K57*(1+PNAVAT),IF(التوصية!$B$248='بيانات للادخال'!$F$4,(K57-N57)+N57*(1+PNAVAT)))</f>
        <v>0</v>
      </c>
      <c r="K57" s="496">
        <f t="shared" si="17"/>
        <v>0</v>
      </c>
      <c r="L57" s="9">
        <f t="shared" si="50"/>
        <v>0</v>
      </c>
      <c r="M57" s="9">
        <f t="shared" si="2"/>
        <v>0</v>
      </c>
      <c r="N57" s="9">
        <f t="shared" si="18"/>
        <v>1.1167948153496346E-13</v>
      </c>
      <c r="O57" s="538">
        <f t="shared" si="30"/>
        <v>1.0684555389645255E-11</v>
      </c>
      <c r="P57" s="539" t="str">
        <f t="shared" si="3"/>
        <v>Mar</v>
      </c>
      <c r="Q57" s="447">
        <f t="shared" si="4"/>
        <v>2023</v>
      </c>
      <c r="R57" s="447">
        <f t="shared" si="31"/>
        <v>49</v>
      </c>
      <c r="S57" s="496">
        <f>IF(OR(التوصية!$B$248='بيانات للادخال'!$F$2,التوصية!$B$248='بيانات للادخال'!$F$3),T57*(1+PNAVAT),IF(التوصية!$B$248='بيانات للادخال'!$F$4,(T57-W57)+W57*(1+PNAVAT)))</f>
        <v>0</v>
      </c>
      <c r="T57" s="9">
        <f t="shared" si="19"/>
        <v>0</v>
      </c>
      <c r="U57" s="9">
        <f t="shared" si="51"/>
        <v>0</v>
      </c>
      <c r="V57" s="9">
        <f t="shared" si="6"/>
        <v>0</v>
      </c>
      <c r="W57" s="9">
        <f t="shared" si="20"/>
        <v>1.1167948153496346E-13</v>
      </c>
      <c r="X57" s="9">
        <f t="shared" si="32"/>
        <v>1.0684555389645255E-11</v>
      </c>
      <c r="Y57" s="538">
        <f t="shared" si="33"/>
        <v>-1.1167948153496346E-13</v>
      </c>
      <c r="Z57" s="494">
        <f t="shared" si="52"/>
        <v>2023</v>
      </c>
      <c r="AA57" s="537" t="str">
        <f t="shared" si="52"/>
        <v>Mar</v>
      </c>
      <c r="AB57" s="447">
        <f t="shared" si="34"/>
        <v>49</v>
      </c>
      <c r="AC57" s="496">
        <f>IF(OR(التوصية!$B$248='بيانات للادخال'!$F$2,التوصية!$B$248='بيانات للادخال'!$F$3),AD57*(1+PNAVAT),IF(التوصية!$B$248='بيانات للادخال'!$F$4,(AD57-AG57)+AG57*(1+PNAVAT)))</f>
        <v>0</v>
      </c>
      <c r="AD57" s="496">
        <f t="shared" si="8"/>
        <v>0</v>
      </c>
      <c r="AE57" s="9">
        <f t="shared" si="53"/>
        <v>0</v>
      </c>
      <c r="AF57" s="9">
        <f t="shared" si="10"/>
        <v>0</v>
      </c>
      <c r="AG57" s="9">
        <f t="shared" si="21"/>
        <v>1.1167948153496346E-13</v>
      </c>
      <c r="AH57" s="538">
        <f t="shared" si="35"/>
        <v>1.0684555389645255E-11</v>
      </c>
      <c r="AI57" s="549" t="str">
        <f t="shared" si="36"/>
        <v>normal</v>
      </c>
      <c r="AJ57" s="537" t="str">
        <f t="shared" si="37"/>
        <v>Jan</v>
      </c>
      <c r="AK57" s="447">
        <f t="shared" si="38"/>
        <v>2023</v>
      </c>
      <c r="AL57" s="447">
        <f t="shared" si="46"/>
        <v>47</v>
      </c>
      <c r="AM57" s="496">
        <f>IF(OR(التوصية!$B$248='بيانات للادخال'!$F$2,التوصية!$B$248='بيانات للادخال'!$F$3),AN57*(1+PNAVAT),IF(التوصية!$B$248='بيانات للادخال'!$F$4,(AN57-AQ57)+AQ57*(1+PNAVAT)))</f>
        <v>199.36258585858587</v>
      </c>
      <c r="AN57" s="496">
        <f t="shared" si="39"/>
        <v>171.86429815395334</v>
      </c>
      <c r="AO57" s="9">
        <f t="shared" si="57"/>
        <v>0</v>
      </c>
      <c r="AP57" s="9">
        <f t="shared" si="41"/>
        <v>171.86429815395334</v>
      </c>
      <c r="AQ57" s="9">
        <f t="shared" si="44"/>
        <v>3.5740196214011846</v>
      </c>
      <c r="AR57" s="550">
        <f t="shared" si="45"/>
        <v>170.06789998742849</v>
      </c>
      <c r="AS57" s="501" t="str">
        <f t="shared" si="0"/>
        <v>Aug</v>
      </c>
      <c r="AT57" s="495" t="str">
        <f t="shared" si="47"/>
        <v>normal</v>
      </c>
      <c r="AU57" s="539" t="str">
        <f t="shared" si="11"/>
        <v>Mar</v>
      </c>
      <c r="AV57" s="447">
        <f t="shared" si="12"/>
        <v>2023</v>
      </c>
      <c r="AW57" s="447" t="str">
        <f t="shared" si="22"/>
        <v>Mar 2023</v>
      </c>
      <c r="AX57" s="448">
        <f t="shared" si="42"/>
        <v>49</v>
      </c>
      <c r="AY57" s="496">
        <f>IF(OR(التوصية!$B$248='بيانات للادخال'!$F$2,التوصية!$B$248='بيانات للادخال'!$F$3),AZ57*(1+PNAVAT),IF(التوصية!$B$248='بيانات للادخال'!$F$4,(AZ57-BC57)+BC57*(1+PNAVAT)))</f>
        <v>0</v>
      </c>
      <c r="AZ57" s="496">
        <f t="shared" si="13"/>
        <v>0</v>
      </c>
      <c r="BA57" s="9">
        <f t="shared" si="54"/>
        <v>0</v>
      </c>
      <c r="BB57" s="9">
        <f t="shared" si="15"/>
        <v>0</v>
      </c>
      <c r="BC57" s="9">
        <f t="shared" si="23"/>
        <v>1.5446756769717444E-9</v>
      </c>
      <c r="BD57" s="9">
        <f t="shared" si="43"/>
        <v>-1.5446756769717444E-9</v>
      </c>
      <c r="BE57" s="9">
        <f t="shared" si="49"/>
        <v>1.4136430303235153E-7</v>
      </c>
      <c r="BF57" s="531">
        <f>IF($E$1='بيانات للادخال'!$M$2,IF(AND(OR(AX57=11+$Z$3,AX57=12+$Z$3,AX57=23+$Z$3,AX57=24+$Z$3,AX57=35+$Z$3,AX57=36+$Z$3,AX57=47+$Z$3,AX57=48+$Z$3,AX57=59+$Z$3,AX57=60+$Z$3),AX57&lt;=$G$3),$E$61/2,AY57),IF($E$1='بيانات للادخال'!$M$3,AC57))</f>
        <v>0</v>
      </c>
      <c r="BG57" s="547" t="str">
        <f t="shared" si="25"/>
        <v>Mar 2023</v>
      </c>
      <c r="BH57" s="541">
        <f t="shared" si="55"/>
        <v>0</v>
      </c>
      <c r="BI57" s="548">
        <f t="shared" si="56"/>
        <v>0</v>
      </c>
    </row>
    <row r="58" spans="1:61">
      <c r="A58" s="471" t="s">
        <v>279</v>
      </c>
      <c r="B58" s="554"/>
      <c r="D58" s="121" t="s">
        <v>107</v>
      </c>
      <c r="E58" s="22">
        <f>IF(E55*(1+PNAVAT)&lt;=$B$3,$C$3,$C$4)</f>
        <v>15</v>
      </c>
      <c r="G58" s="536">
        <f t="shared" si="28"/>
        <v>2023</v>
      </c>
      <c r="H58" s="537" t="str">
        <f t="shared" si="16"/>
        <v>Apr</v>
      </c>
      <c r="I58" s="447">
        <f t="shared" si="29"/>
        <v>50</v>
      </c>
      <c r="J58" s="496">
        <f>IF(OR(التوصية!$B$248='بيانات للادخال'!$F$2,التوصية!$B$248='بيانات للادخال'!$F$3),K58*(1+PNAVAT),IF(التوصية!$B$248='بيانات للادخال'!$F$4,(K58-N58)+N58*(1+PNAVAT)))</f>
        <v>0</v>
      </c>
      <c r="K58" s="496">
        <f t="shared" si="17"/>
        <v>0</v>
      </c>
      <c r="L58" s="9">
        <f t="shared" si="50"/>
        <v>0</v>
      </c>
      <c r="M58" s="9">
        <f t="shared" si="2"/>
        <v>0</v>
      </c>
      <c r="N58" s="9">
        <f t="shared" si="18"/>
        <v>1.1285913281473975E-13</v>
      </c>
      <c r="O58" s="538">
        <f t="shared" si="30"/>
        <v>1.0797414522459994E-11</v>
      </c>
      <c r="P58" s="539" t="str">
        <f t="shared" si="3"/>
        <v>Apr</v>
      </c>
      <c r="Q58" s="447">
        <f t="shared" si="4"/>
        <v>2023</v>
      </c>
      <c r="R58" s="447">
        <f t="shared" si="31"/>
        <v>50</v>
      </c>
      <c r="S58" s="496">
        <f>IF(OR(التوصية!$B$248='بيانات للادخال'!$F$2,التوصية!$B$248='بيانات للادخال'!$F$3),T58*(1+PNAVAT),IF(التوصية!$B$248='بيانات للادخال'!$F$4,(T58-W58)+W58*(1+PNAVAT)))</f>
        <v>0</v>
      </c>
      <c r="T58" s="9">
        <f t="shared" si="19"/>
        <v>0</v>
      </c>
      <c r="U58" s="9">
        <f t="shared" si="51"/>
        <v>0</v>
      </c>
      <c r="V58" s="9">
        <f t="shared" si="6"/>
        <v>0</v>
      </c>
      <c r="W58" s="9">
        <f t="shared" si="20"/>
        <v>1.1285913281473975E-13</v>
      </c>
      <c r="X58" s="9">
        <f t="shared" si="32"/>
        <v>1.0797414522459994E-11</v>
      </c>
      <c r="Y58" s="538">
        <f t="shared" si="33"/>
        <v>-1.1285913281473975E-13</v>
      </c>
      <c r="Z58" s="494">
        <f t="shared" si="52"/>
        <v>2023</v>
      </c>
      <c r="AA58" s="537" t="str">
        <f t="shared" si="52"/>
        <v>Apr</v>
      </c>
      <c r="AB58" s="447">
        <f t="shared" si="34"/>
        <v>50</v>
      </c>
      <c r="AC58" s="496">
        <f>IF(OR(التوصية!$B$248='بيانات للادخال'!$F$2,التوصية!$B$248='بيانات للادخال'!$F$3),AD58*(1+PNAVAT),IF(التوصية!$B$248='بيانات للادخال'!$F$4,(AD58-AG58)+AG58*(1+PNAVAT)))</f>
        <v>0</v>
      </c>
      <c r="AD58" s="496">
        <f t="shared" si="8"/>
        <v>0</v>
      </c>
      <c r="AE58" s="9">
        <f t="shared" si="53"/>
        <v>0</v>
      </c>
      <c r="AF58" s="9">
        <f t="shared" si="10"/>
        <v>0</v>
      </c>
      <c r="AG58" s="9">
        <f t="shared" si="21"/>
        <v>1.1285913281473975E-13</v>
      </c>
      <c r="AH58" s="538">
        <f t="shared" si="35"/>
        <v>1.0797414522459994E-11</v>
      </c>
      <c r="AI58" s="549" t="str">
        <f t="shared" si="36"/>
        <v>normal</v>
      </c>
      <c r="AJ58" s="537" t="str">
        <f t="shared" si="37"/>
        <v>Feb</v>
      </c>
      <c r="AK58" s="447">
        <f t="shared" si="38"/>
        <v>2023</v>
      </c>
      <c r="AL58" s="447">
        <f t="shared" si="46"/>
        <v>48</v>
      </c>
      <c r="AM58" s="496">
        <f>IF(OR(التوصية!$B$248='بيانات للادخال'!$F$2,التوصية!$B$248='بيانات للادخال'!$F$3),AN58*(1+PNAVAT),IF(التوصية!$B$248='بيانات للادخال'!$F$4,(AN58-AQ58)+AQ58*(1+PNAVAT)))</f>
        <v>199.36258585858587</v>
      </c>
      <c r="AN58" s="496">
        <f t="shared" si="39"/>
        <v>171.86429815395334</v>
      </c>
      <c r="AO58" s="9">
        <f t="shared" si="57"/>
        <v>0</v>
      </c>
      <c r="AP58" s="9">
        <f t="shared" si="41"/>
        <v>171.86429815395334</v>
      </c>
      <c r="AQ58" s="9">
        <f t="shared" si="44"/>
        <v>1.796398166535438</v>
      </c>
      <c r="AR58" s="550">
        <f t="shared" si="45"/>
        <v>1.0572875908110291E-11</v>
      </c>
      <c r="AS58" s="501" t="str">
        <f t="shared" si="0"/>
        <v>Sep</v>
      </c>
      <c r="AT58" s="495" t="str">
        <f t="shared" si="47"/>
        <v>normal</v>
      </c>
      <c r="AU58" s="539" t="str">
        <f t="shared" si="11"/>
        <v>Apr</v>
      </c>
      <c r="AV58" s="447">
        <f t="shared" si="12"/>
        <v>2023</v>
      </c>
      <c r="AW58" s="447" t="str">
        <f t="shared" si="22"/>
        <v>Apr 2023</v>
      </c>
      <c r="AX58" s="448">
        <f t="shared" si="42"/>
        <v>50</v>
      </c>
      <c r="AY58" s="496">
        <f>IF(OR(التوصية!$B$248='بيانات للادخال'!$F$2,التوصية!$B$248='بيانات للادخال'!$F$3),AZ58*(1+PNAVAT),IF(التوصية!$B$248='بيانات للادخال'!$F$4,(AZ58-BC58)+BC58*(1+PNAVAT)))</f>
        <v>0</v>
      </c>
      <c r="AZ58" s="496">
        <f t="shared" si="13"/>
        <v>0</v>
      </c>
      <c r="BA58" s="9">
        <f t="shared" si="54"/>
        <v>0</v>
      </c>
      <c r="BB58" s="9">
        <f t="shared" si="15"/>
        <v>0</v>
      </c>
      <c r="BC58" s="9">
        <f t="shared" si="23"/>
        <v>1.5617406841682206E-9</v>
      </c>
      <c r="BD58" s="9">
        <f t="shared" si="43"/>
        <v>-1.5617406841682206E-9</v>
      </c>
      <c r="BE58" s="9">
        <f t="shared" si="49"/>
        <v>1.4292604371651974E-7</v>
      </c>
      <c r="BF58" s="531">
        <f>IF($E$1='بيانات للادخال'!$M$2,IF(AND(OR(AX58=11+$Z$3,AX58=12+$Z$3,AX58=23+$Z$3,AX58=24+$Z$3,AX58=35+$Z$3,AX58=36+$Z$3,AX58=47+$Z$3,AX58=48+$Z$3,AX58=59+$Z$3,AX58=60+$Z$3),AX58&lt;=$G$3),$E$61/2,AY58),IF($E$1='بيانات للادخال'!$M$3,AC58))</f>
        <v>0</v>
      </c>
      <c r="BG58" s="547" t="str">
        <f t="shared" si="25"/>
        <v>Apr 2023</v>
      </c>
      <c r="BH58" s="541">
        <f t="shared" si="55"/>
        <v>0</v>
      </c>
      <c r="BI58" s="548">
        <f t="shared" si="56"/>
        <v>0</v>
      </c>
    </row>
    <row r="59" spans="1:61">
      <c r="A59" s="471" t="s">
        <v>280</v>
      </c>
      <c r="B59" s="554"/>
      <c r="D59" s="534" t="s">
        <v>11</v>
      </c>
      <c r="E59" s="535">
        <f>SUM(E55:E58)</f>
        <v>6444.9111807732506</v>
      </c>
      <c r="G59" s="536">
        <f t="shared" si="28"/>
        <v>2023</v>
      </c>
      <c r="H59" s="537" t="str">
        <f t="shared" si="16"/>
        <v>May</v>
      </c>
      <c r="I59" s="447">
        <f t="shared" si="29"/>
        <v>51</v>
      </c>
      <c r="J59" s="496">
        <f>IF(OR(التوصية!$B$248='بيانات للادخال'!$F$2,التوصية!$B$248='بيانات للادخال'!$F$3),K59*(1+PNAVAT),IF(التوصية!$B$248='بيانات للادخال'!$F$4,(K59-N59)+N59*(1+PNAVAT)))</f>
        <v>0</v>
      </c>
      <c r="K59" s="496">
        <f t="shared" si="17"/>
        <v>0</v>
      </c>
      <c r="L59" s="9">
        <f t="shared" si="50"/>
        <v>0</v>
      </c>
      <c r="M59" s="9">
        <f t="shared" si="2"/>
        <v>0</v>
      </c>
      <c r="N59" s="9">
        <f t="shared" si="18"/>
        <v>1.1405124454940669E-13</v>
      </c>
      <c r="O59" s="538">
        <f t="shared" si="30"/>
        <v>1.0911465767009401E-11</v>
      </c>
      <c r="P59" s="539" t="str">
        <f t="shared" si="3"/>
        <v>May</v>
      </c>
      <c r="Q59" s="447">
        <f t="shared" si="4"/>
        <v>2023</v>
      </c>
      <c r="R59" s="447">
        <f t="shared" si="31"/>
        <v>51</v>
      </c>
      <c r="S59" s="496">
        <f>IF(OR(التوصية!$B$248='بيانات للادخال'!$F$2,التوصية!$B$248='بيانات للادخال'!$F$3),T59*(1+PNAVAT),IF(التوصية!$B$248='بيانات للادخال'!$F$4,(T59-W59)+W59*(1+PNAVAT)))</f>
        <v>0</v>
      </c>
      <c r="T59" s="9">
        <f t="shared" si="19"/>
        <v>0</v>
      </c>
      <c r="U59" s="9">
        <f t="shared" si="51"/>
        <v>0</v>
      </c>
      <c r="V59" s="9">
        <f t="shared" si="6"/>
        <v>0</v>
      </c>
      <c r="W59" s="9">
        <f t="shared" si="20"/>
        <v>1.1405124454940669E-13</v>
      </c>
      <c r="X59" s="9">
        <f t="shared" si="32"/>
        <v>1.0911465767009401E-11</v>
      </c>
      <c r="Y59" s="538">
        <f t="shared" si="33"/>
        <v>-1.1405124454940669E-13</v>
      </c>
      <c r="Z59" s="494">
        <f t="shared" si="52"/>
        <v>2023</v>
      </c>
      <c r="AA59" s="537" t="str">
        <f t="shared" si="52"/>
        <v>May</v>
      </c>
      <c r="AB59" s="447">
        <f t="shared" si="34"/>
        <v>51</v>
      </c>
      <c r="AC59" s="496">
        <f>IF(OR(التوصية!$B$248='بيانات للادخال'!$F$2,التوصية!$B$248='بيانات للادخال'!$F$3),AD59*(1+PNAVAT),IF(التوصية!$B$248='بيانات للادخال'!$F$4,(AD59-AG59)+AG59*(1+PNAVAT)))</f>
        <v>0</v>
      </c>
      <c r="AD59" s="496">
        <f t="shared" si="8"/>
        <v>0</v>
      </c>
      <c r="AE59" s="9">
        <f t="shared" si="53"/>
        <v>0</v>
      </c>
      <c r="AF59" s="9">
        <f t="shared" si="10"/>
        <v>0</v>
      </c>
      <c r="AG59" s="9">
        <f t="shared" si="21"/>
        <v>1.1405124454940669E-13</v>
      </c>
      <c r="AH59" s="538">
        <f t="shared" si="35"/>
        <v>1.0911465767009401E-11</v>
      </c>
      <c r="AI59" s="549" t="str">
        <f t="shared" si="36"/>
        <v>normal</v>
      </c>
      <c r="AJ59" s="537" t="str">
        <f t="shared" si="37"/>
        <v>Mar</v>
      </c>
      <c r="AK59" s="447">
        <f t="shared" si="38"/>
        <v>2023</v>
      </c>
      <c r="AL59" s="447">
        <f t="shared" si="46"/>
        <v>49</v>
      </c>
      <c r="AM59" s="496">
        <f>IF(OR(التوصية!$B$248='بيانات للادخال'!$F$2,التوصية!$B$248='بيانات للادخال'!$F$3),AN59*(1+PNAVAT),IF(التوصية!$B$248='بيانات للادخال'!$F$4,(AN59-AQ59)+AQ59*(1+PNAVAT)))</f>
        <v>0</v>
      </c>
      <c r="AN59" s="496">
        <f t="shared" si="39"/>
        <v>0</v>
      </c>
      <c r="AO59" s="9">
        <f t="shared" si="57"/>
        <v>0</v>
      </c>
      <c r="AP59" s="9">
        <f t="shared" si="41"/>
        <v>0</v>
      </c>
      <c r="AQ59" s="9">
        <f t="shared" si="44"/>
        <v>1.1167948153496346E-13</v>
      </c>
      <c r="AR59" s="550">
        <f t="shared" si="45"/>
        <v>1.0684555389645255E-11</v>
      </c>
      <c r="AS59" s="501" t="str">
        <f t="shared" si="0"/>
        <v>Oct</v>
      </c>
      <c r="AT59" s="495" t="str">
        <f t="shared" si="47"/>
        <v>normal</v>
      </c>
      <c r="AU59" s="539" t="str">
        <f t="shared" si="11"/>
        <v>May</v>
      </c>
      <c r="AV59" s="447">
        <f t="shared" si="12"/>
        <v>2023</v>
      </c>
      <c r="AW59" s="447" t="str">
        <f t="shared" si="22"/>
        <v>May 2023</v>
      </c>
      <c r="AX59" s="448">
        <f t="shared" si="42"/>
        <v>51</v>
      </c>
      <c r="AY59" s="496">
        <f>IF(OR(التوصية!$B$248='بيانات للادخال'!$F$2,التوصية!$B$248='بيانات للادخال'!$F$3),AZ59*(1+PNAVAT),IF(التوصية!$B$248='بيانات للادخال'!$F$4,(AZ59-BC59)+BC59*(1+PNAVAT)))</f>
        <v>0</v>
      </c>
      <c r="AZ59" s="496">
        <f t="shared" si="13"/>
        <v>0</v>
      </c>
      <c r="BA59" s="9">
        <f t="shared" si="54"/>
        <v>0</v>
      </c>
      <c r="BB59" s="9">
        <f t="shared" si="15"/>
        <v>0</v>
      </c>
      <c r="BC59" s="9">
        <f t="shared" si="23"/>
        <v>1.5789942192705584E-9</v>
      </c>
      <c r="BD59" s="9">
        <f t="shared" si="43"/>
        <v>-1.5789942192705584E-9</v>
      </c>
      <c r="BE59" s="9">
        <f t="shared" si="49"/>
        <v>1.4450503793579031E-7</v>
      </c>
      <c r="BF59" s="531">
        <f>IF($E$1='بيانات للادخال'!$M$2,IF(AND(OR(AX59=11+$Z$3,AX59=12+$Z$3,AX59=23+$Z$3,AX59=24+$Z$3,AX59=35+$Z$3,AX59=36+$Z$3,AX59=47+$Z$3,AX59=48+$Z$3,AX59=59+$Z$3,AX59=60+$Z$3),AX59&lt;=$G$3),$E$61/2,AY59),IF($E$1='بيانات للادخال'!$M$3,AC59))</f>
        <v>0</v>
      </c>
      <c r="BG59" s="547" t="str">
        <f t="shared" si="25"/>
        <v>May 2023</v>
      </c>
      <c r="BH59" s="541">
        <f t="shared" si="55"/>
        <v>0</v>
      </c>
      <c r="BI59" s="548">
        <f t="shared" si="56"/>
        <v>0</v>
      </c>
    </row>
    <row r="60" spans="1:61">
      <c r="A60" s="471" t="s">
        <v>281</v>
      </c>
      <c r="B60" s="554"/>
      <c r="D60" s="543" t="s">
        <v>349</v>
      </c>
      <c r="E60" s="544" t="s">
        <v>350</v>
      </c>
      <c r="G60" s="536">
        <f t="shared" si="28"/>
        <v>2023</v>
      </c>
      <c r="H60" s="537" t="str">
        <f t="shared" si="16"/>
        <v>Jun</v>
      </c>
      <c r="I60" s="447">
        <f t="shared" si="29"/>
        <v>52</v>
      </c>
      <c r="J60" s="496">
        <f>IF(OR(التوصية!$B$248='بيانات للادخال'!$F$2,التوصية!$B$248='بيانات للادخال'!$F$3),K60*(1+PNAVAT),IF(التوصية!$B$248='بيانات للادخال'!$F$4,(K60-N60)+N60*(1+PNAVAT)))</f>
        <v>0</v>
      </c>
      <c r="K60" s="496">
        <f t="shared" si="17"/>
        <v>0</v>
      </c>
      <c r="L60" s="9">
        <f t="shared" si="50"/>
        <v>0</v>
      </c>
      <c r="M60" s="9">
        <f t="shared" si="2"/>
        <v>0</v>
      </c>
      <c r="N60" s="9">
        <f t="shared" si="18"/>
        <v>1.1525594835662009E-13</v>
      </c>
      <c r="O60" s="538">
        <f t="shared" si="30"/>
        <v>1.1026721715366021E-11</v>
      </c>
      <c r="P60" s="539" t="str">
        <f t="shared" si="3"/>
        <v>Jun</v>
      </c>
      <c r="Q60" s="447">
        <f t="shared" si="4"/>
        <v>2023</v>
      </c>
      <c r="R60" s="447">
        <f t="shared" si="31"/>
        <v>52</v>
      </c>
      <c r="S60" s="496">
        <f>IF(OR(التوصية!$B$248='بيانات للادخال'!$F$2,التوصية!$B$248='بيانات للادخال'!$F$3),T60*(1+PNAVAT),IF(التوصية!$B$248='بيانات للادخال'!$F$4,(T60-W60)+W60*(1+PNAVAT)))</f>
        <v>0</v>
      </c>
      <c r="T60" s="9">
        <f t="shared" si="19"/>
        <v>0</v>
      </c>
      <c r="U60" s="9">
        <f t="shared" si="51"/>
        <v>0</v>
      </c>
      <c r="V60" s="9">
        <f t="shared" si="6"/>
        <v>0</v>
      </c>
      <c r="W60" s="9">
        <f t="shared" si="20"/>
        <v>1.1525594835662009E-13</v>
      </c>
      <c r="X60" s="9">
        <f t="shared" si="32"/>
        <v>1.1026721715366021E-11</v>
      </c>
      <c r="Y60" s="538">
        <f t="shared" si="33"/>
        <v>-1.1525594835662009E-13</v>
      </c>
      <c r="Z60" s="494">
        <f t="shared" si="52"/>
        <v>2023</v>
      </c>
      <c r="AA60" s="537" t="str">
        <f t="shared" si="52"/>
        <v>Jun</v>
      </c>
      <c r="AB60" s="447">
        <f t="shared" si="34"/>
        <v>52</v>
      </c>
      <c r="AC60" s="496">
        <f>IF(OR(التوصية!$B$248='بيانات للادخال'!$F$2,التوصية!$B$248='بيانات للادخال'!$F$3),AD60*(1+PNAVAT),IF(التوصية!$B$248='بيانات للادخال'!$F$4,(AD60-AG60)+AG60*(1+PNAVAT)))</f>
        <v>0</v>
      </c>
      <c r="AD60" s="496">
        <f t="shared" si="8"/>
        <v>0</v>
      </c>
      <c r="AE60" s="9">
        <f t="shared" si="53"/>
        <v>0</v>
      </c>
      <c r="AF60" s="9">
        <f t="shared" si="10"/>
        <v>0</v>
      </c>
      <c r="AG60" s="9">
        <f t="shared" si="21"/>
        <v>1.1525594835662009E-13</v>
      </c>
      <c r="AH60" s="538">
        <f t="shared" si="35"/>
        <v>1.1026721715366021E-11</v>
      </c>
      <c r="AI60" s="549" t="str">
        <f t="shared" si="36"/>
        <v>normal</v>
      </c>
      <c r="AJ60" s="537" t="str">
        <f t="shared" si="37"/>
        <v>Apr</v>
      </c>
      <c r="AK60" s="447">
        <f t="shared" si="38"/>
        <v>2023</v>
      </c>
      <c r="AL60" s="447">
        <f t="shared" si="46"/>
        <v>50</v>
      </c>
      <c r="AM60" s="496">
        <f>IF(OR(التوصية!$B$248='بيانات للادخال'!$F$2,التوصية!$B$248='بيانات للادخال'!$F$3),AN60*(1+PNAVAT),IF(التوصية!$B$248='بيانات للادخال'!$F$4,(AN60-AQ60)+AQ60*(1+PNAVAT)))</f>
        <v>0</v>
      </c>
      <c r="AN60" s="496">
        <f t="shared" si="39"/>
        <v>0</v>
      </c>
      <c r="AO60" s="9">
        <f t="shared" si="57"/>
        <v>0</v>
      </c>
      <c r="AP60" s="9">
        <f t="shared" si="41"/>
        <v>0</v>
      </c>
      <c r="AQ60" s="9">
        <f t="shared" si="44"/>
        <v>1.1285913281473975E-13</v>
      </c>
      <c r="AR60" s="550">
        <f t="shared" si="45"/>
        <v>1.0797414522459994E-11</v>
      </c>
      <c r="AS60" s="501" t="str">
        <f t="shared" si="0"/>
        <v>Nov</v>
      </c>
      <c r="AT60" s="495" t="str">
        <f t="shared" si="47"/>
        <v>normal</v>
      </c>
      <c r="AU60" s="539" t="str">
        <f t="shared" si="11"/>
        <v>Jun</v>
      </c>
      <c r="AV60" s="447">
        <f t="shared" si="12"/>
        <v>2023</v>
      </c>
      <c r="AW60" s="447" t="str">
        <f t="shared" si="22"/>
        <v>Jun 2023</v>
      </c>
      <c r="AX60" s="448">
        <f t="shared" si="42"/>
        <v>52</v>
      </c>
      <c r="AY60" s="496">
        <f>IF(OR(التوصية!$B$248='بيانات للادخال'!$F$2,التوصية!$B$248='بيانات للادخال'!$F$3),AZ60*(1+PNAVAT),IF(التوصية!$B$248='بيانات للادخال'!$F$4,(AZ60-BC60)+BC60*(1+PNAVAT)))</f>
        <v>0</v>
      </c>
      <c r="AZ60" s="496">
        <f t="shared" si="13"/>
        <v>0</v>
      </c>
      <c r="BA60" s="9">
        <f t="shared" si="54"/>
        <v>0</v>
      </c>
      <c r="BB60" s="9">
        <f t="shared" si="15"/>
        <v>0</v>
      </c>
      <c r="BC60" s="9">
        <f t="shared" si="23"/>
        <v>1.5964383650655327E-9</v>
      </c>
      <c r="BD60" s="9">
        <f t="shared" si="43"/>
        <v>-1.5964383650655327E-9</v>
      </c>
      <c r="BE60" s="9">
        <f t="shared" si="49"/>
        <v>1.4610147630085583E-7</v>
      </c>
      <c r="BF60" s="531">
        <f>IF($E$1='بيانات للادخال'!$M$2,IF(AND(OR(AX60=11+$Z$3,AX60=12+$Z$3,AX60=23+$Z$3,AX60=24+$Z$3,AX60=35+$Z$3,AX60=36+$Z$3,AX60=47+$Z$3,AX60=48+$Z$3,AX60=59+$Z$3,AX60=60+$Z$3),AX60&lt;=$G$3),$E$61/2,AY60),IF($E$1='بيانات للادخال'!$M$3,AC60))</f>
        <v>0</v>
      </c>
      <c r="BG60" s="547" t="str">
        <f t="shared" si="25"/>
        <v>Jun 2023</v>
      </c>
      <c r="BH60" s="541">
        <f t="shared" si="55"/>
        <v>0</v>
      </c>
      <c r="BI60" s="548">
        <f t="shared" si="56"/>
        <v>0</v>
      </c>
    </row>
    <row r="61" spans="1:61">
      <c r="A61" s="552" t="s">
        <v>282</v>
      </c>
      <c r="B61" s="554"/>
      <c r="D61" s="543" t="s">
        <v>351</v>
      </c>
      <c r="E61" s="551">
        <f>E11+E21+E31+E41+E51</f>
        <v>0</v>
      </c>
      <c r="G61" s="536">
        <f t="shared" si="28"/>
        <v>2023</v>
      </c>
      <c r="H61" s="537" t="str">
        <f t="shared" si="16"/>
        <v>Jul</v>
      </c>
      <c r="I61" s="447">
        <f t="shared" si="29"/>
        <v>53</v>
      </c>
      <c r="J61" s="496">
        <f>IF(OR(التوصية!$B$248='بيانات للادخال'!$F$2,التوصية!$B$248='بيانات للادخال'!$F$3),K61*(1+PNAVAT),IF(التوصية!$B$248='بيانات للادخال'!$F$4,(K61-N61)+N61*(1+PNAVAT)))</f>
        <v>0</v>
      </c>
      <c r="K61" s="496">
        <f t="shared" si="17"/>
        <v>0</v>
      </c>
      <c r="L61" s="9">
        <f t="shared" si="50"/>
        <v>0</v>
      </c>
      <c r="M61" s="9">
        <f t="shared" si="2"/>
        <v>0</v>
      </c>
      <c r="N61" s="9">
        <f t="shared" si="18"/>
        <v>1.1647337724429048E-13</v>
      </c>
      <c r="O61" s="538">
        <f t="shared" si="30"/>
        <v>1.1143195092610312E-11</v>
      </c>
      <c r="P61" s="539" t="str">
        <f t="shared" si="3"/>
        <v>Jul</v>
      </c>
      <c r="Q61" s="447">
        <f t="shared" si="4"/>
        <v>2023</v>
      </c>
      <c r="R61" s="447">
        <f t="shared" si="31"/>
        <v>53</v>
      </c>
      <c r="S61" s="496">
        <f>IF(OR(التوصية!$B$248='بيانات للادخال'!$F$2,التوصية!$B$248='بيانات للادخال'!$F$3),T61*(1+PNAVAT),IF(التوصية!$B$248='بيانات للادخال'!$F$4,(T61-W61)+W61*(1+PNAVAT)))</f>
        <v>0</v>
      </c>
      <c r="T61" s="9">
        <f t="shared" si="19"/>
        <v>0</v>
      </c>
      <c r="U61" s="9">
        <f t="shared" si="51"/>
        <v>0</v>
      </c>
      <c r="V61" s="9">
        <f t="shared" si="6"/>
        <v>0</v>
      </c>
      <c r="W61" s="9">
        <f t="shared" si="20"/>
        <v>1.1647337724429048E-13</v>
      </c>
      <c r="X61" s="9">
        <f t="shared" si="32"/>
        <v>1.1143195092610312E-11</v>
      </c>
      <c r="Y61" s="538">
        <f t="shared" si="33"/>
        <v>-1.1647337724429048E-13</v>
      </c>
      <c r="Z61" s="494">
        <f t="shared" si="52"/>
        <v>2023</v>
      </c>
      <c r="AA61" s="537" t="str">
        <f t="shared" si="52"/>
        <v>Jul</v>
      </c>
      <c r="AB61" s="447">
        <f t="shared" si="34"/>
        <v>53</v>
      </c>
      <c r="AC61" s="496">
        <f>IF(OR(التوصية!$B$248='بيانات للادخال'!$F$2,التوصية!$B$248='بيانات للادخال'!$F$3),AD61*(1+PNAVAT),IF(التوصية!$B$248='بيانات للادخال'!$F$4,(AD61-AG61)+AG61*(1+PNAVAT)))</f>
        <v>0</v>
      </c>
      <c r="AD61" s="496">
        <f t="shared" si="8"/>
        <v>0</v>
      </c>
      <c r="AE61" s="9">
        <f t="shared" si="53"/>
        <v>0</v>
      </c>
      <c r="AF61" s="9">
        <f t="shared" si="10"/>
        <v>0</v>
      </c>
      <c r="AG61" s="9">
        <f t="shared" si="21"/>
        <v>1.1647337724429048E-13</v>
      </c>
      <c r="AH61" s="538">
        <f t="shared" si="35"/>
        <v>1.1143195092610312E-11</v>
      </c>
      <c r="AI61" s="549" t="str">
        <f t="shared" si="36"/>
        <v>normal</v>
      </c>
      <c r="AJ61" s="537" t="str">
        <f t="shared" si="37"/>
        <v>May</v>
      </c>
      <c r="AK61" s="447">
        <f t="shared" si="38"/>
        <v>2023</v>
      </c>
      <c r="AL61" s="447">
        <f t="shared" si="46"/>
        <v>51</v>
      </c>
      <c r="AM61" s="496">
        <f>IF(OR(التوصية!$B$248='بيانات للادخال'!$F$2,التوصية!$B$248='بيانات للادخال'!$F$3),AN61*(1+PNAVAT),IF(التوصية!$B$248='بيانات للادخال'!$F$4,(AN61-AQ61)+AQ61*(1+PNAVAT)))</f>
        <v>0</v>
      </c>
      <c r="AN61" s="496">
        <f t="shared" si="39"/>
        <v>0</v>
      </c>
      <c r="AO61" s="9">
        <f t="shared" si="57"/>
        <v>0</v>
      </c>
      <c r="AP61" s="9">
        <f t="shared" si="41"/>
        <v>0</v>
      </c>
      <c r="AQ61" s="9">
        <f t="shared" si="44"/>
        <v>1.1405124454940669E-13</v>
      </c>
      <c r="AR61" s="550">
        <f t="shared" si="45"/>
        <v>1.0911465767009401E-11</v>
      </c>
      <c r="AS61" s="501" t="str">
        <f t="shared" si="0"/>
        <v>Dec</v>
      </c>
      <c r="AT61" s="495" t="str">
        <f t="shared" si="47"/>
        <v>normal</v>
      </c>
      <c r="AU61" s="539" t="str">
        <f t="shared" si="11"/>
        <v>Jul</v>
      </c>
      <c r="AV61" s="447">
        <f t="shared" si="12"/>
        <v>2023</v>
      </c>
      <c r="AW61" s="447" t="str">
        <f t="shared" si="22"/>
        <v>Jul 2023</v>
      </c>
      <c r="AX61" s="448">
        <f t="shared" si="42"/>
        <v>53</v>
      </c>
      <c r="AY61" s="496">
        <f>IF(OR(التوصية!$B$248='بيانات للادخال'!$F$2,التوصية!$B$248='بيانات للادخال'!$F$3),AZ61*(1+PNAVAT),IF(التوصية!$B$248='بيانات للادخال'!$F$4,(AZ61-BC61)+BC61*(1+PNAVAT)))</f>
        <v>0</v>
      </c>
      <c r="AZ61" s="496">
        <f t="shared" si="13"/>
        <v>0</v>
      </c>
      <c r="BA61" s="9">
        <f t="shared" si="54"/>
        <v>0</v>
      </c>
      <c r="BB61" s="9">
        <f t="shared" si="15"/>
        <v>0</v>
      </c>
      <c r="BC61" s="9">
        <f t="shared" si="23"/>
        <v>1.6140752273497776E-9</v>
      </c>
      <c r="BD61" s="9">
        <f t="shared" si="43"/>
        <v>-1.6140752273497776E-9</v>
      </c>
      <c r="BE61" s="9">
        <f t="shared" si="49"/>
        <v>1.477155515282056E-7</v>
      </c>
      <c r="BF61" s="531">
        <f>IF($E$1='بيانات للادخال'!$M$2,IF(AND(OR(AX61=11+$Z$3,AX61=12+$Z$3,AX61=23+$Z$3,AX61=24+$Z$3,AX61=35+$Z$3,AX61=36+$Z$3,AX61=47+$Z$3,AX61=48+$Z$3,AX61=59+$Z$3,AX61=60+$Z$3),AX61&lt;=$G$3),$E$61/2,AY61),IF($E$1='بيانات للادخال'!$M$3,AC61))</f>
        <v>0</v>
      </c>
      <c r="BG61" s="547" t="str">
        <f t="shared" si="25"/>
        <v>Jul 2023</v>
      </c>
      <c r="BH61" s="541">
        <f t="shared" si="55"/>
        <v>0</v>
      </c>
      <c r="BI61" s="548">
        <f t="shared" si="56"/>
        <v>0</v>
      </c>
    </row>
    <row r="62" spans="1:61">
      <c r="A62" s="451" t="s">
        <v>271</v>
      </c>
      <c r="B62" s="554"/>
      <c r="G62" s="536">
        <f t="shared" si="28"/>
        <v>2023</v>
      </c>
      <c r="H62" s="537" t="str">
        <f t="shared" si="16"/>
        <v>Aug</v>
      </c>
      <c r="I62" s="447">
        <f t="shared" si="29"/>
        <v>54</v>
      </c>
      <c r="J62" s="496">
        <f>IF(OR(التوصية!$B$248='بيانات للادخال'!$F$2,التوصية!$B$248='بيانات للادخال'!$F$3),K62*(1+PNAVAT),IF(التوصية!$B$248='بيانات للادخال'!$F$4,(K62-N62)+N62*(1+PNAVAT)))</f>
        <v>0</v>
      </c>
      <c r="K62" s="496">
        <f t="shared" si="17"/>
        <v>0</v>
      </c>
      <c r="L62" s="9">
        <f t="shared" si="50"/>
        <v>0</v>
      </c>
      <c r="M62" s="9">
        <f t="shared" si="2"/>
        <v>0</v>
      </c>
      <c r="N62" s="9">
        <f t="shared" si="18"/>
        <v>1.177036656252683E-13</v>
      </c>
      <c r="O62" s="538">
        <f t="shared" si="30"/>
        <v>1.126089875823558E-11</v>
      </c>
      <c r="P62" s="539" t="str">
        <f t="shared" si="3"/>
        <v>Aug</v>
      </c>
      <c r="Q62" s="447">
        <f t="shared" si="4"/>
        <v>2023</v>
      </c>
      <c r="R62" s="447">
        <f t="shared" si="31"/>
        <v>54</v>
      </c>
      <c r="S62" s="496">
        <f>IF(OR(التوصية!$B$248='بيانات للادخال'!$F$2,التوصية!$B$248='بيانات للادخال'!$F$3),T62*(1+PNAVAT),IF(التوصية!$B$248='بيانات للادخال'!$F$4,(T62-W62)+W62*(1+PNAVAT)))</f>
        <v>0</v>
      </c>
      <c r="T62" s="9">
        <f t="shared" si="19"/>
        <v>0</v>
      </c>
      <c r="U62" s="9">
        <f t="shared" si="51"/>
        <v>0</v>
      </c>
      <c r="V62" s="9">
        <f t="shared" si="6"/>
        <v>0</v>
      </c>
      <c r="W62" s="9">
        <f t="shared" si="20"/>
        <v>1.177036656252683E-13</v>
      </c>
      <c r="X62" s="9">
        <f t="shared" si="32"/>
        <v>1.126089875823558E-11</v>
      </c>
      <c r="Y62" s="538">
        <f t="shared" si="33"/>
        <v>-1.177036656252683E-13</v>
      </c>
      <c r="Z62" s="494">
        <f t="shared" si="52"/>
        <v>2023</v>
      </c>
      <c r="AA62" s="537" t="str">
        <f t="shared" si="52"/>
        <v>Aug</v>
      </c>
      <c r="AB62" s="447">
        <f t="shared" si="34"/>
        <v>54</v>
      </c>
      <c r="AC62" s="496">
        <f>IF(OR(التوصية!$B$248='بيانات للادخال'!$F$2,التوصية!$B$248='بيانات للادخال'!$F$3),AD62*(1+PNAVAT),IF(التوصية!$B$248='بيانات للادخال'!$F$4,(AD62-AG62)+AG62*(1+PNAVAT)))</f>
        <v>0</v>
      </c>
      <c r="AD62" s="496">
        <f t="shared" si="8"/>
        <v>0</v>
      </c>
      <c r="AE62" s="9">
        <f t="shared" si="53"/>
        <v>0</v>
      </c>
      <c r="AF62" s="9">
        <f t="shared" si="10"/>
        <v>0</v>
      </c>
      <c r="AG62" s="9">
        <f t="shared" si="21"/>
        <v>1.177036656252683E-13</v>
      </c>
      <c r="AH62" s="538">
        <f t="shared" si="35"/>
        <v>1.126089875823558E-11</v>
      </c>
      <c r="AI62" s="549" t="str">
        <f t="shared" si="36"/>
        <v>normal</v>
      </c>
      <c r="AJ62" s="537" t="str">
        <f t="shared" si="37"/>
        <v>Jun</v>
      </c>
      <c r="AK62" s="447">
        <f t="shared" si="38"/>
        <v>2023</v>
      </c>
      <c r="AL62" s="447">
        <f t="shared" si="46"/>
        <v>52</v>
      </c>
      <c r="AM62" s="496">
        <f>IF(OR(التوصية!$B$248='بيانات للادخال'!$F$2,التوصية!$B$248='بيانات للادخال'!$F$3),AN62*(1+PNAVAT),IF(التوصية!$B$248='بيانات للادخال'!$F$4,(AN62-AQ62)+AQ62*(1+PNAVAT)))</f>
        <v>0</v>
      </c>
      <c r="AN62" s="496">
        <f t="shared" si="39"/>
        <v>0</v>
      </c>
      <c r="AO62" s="9">
        <f t="shared" si="57"/>
        <v>0</v>
      </c>
      <c r="AP62" s="9">
        <f t="shared" si="41"/>
        <v>0</v>
      </c>
      <c r="AQ62" s="9">
        <f t="shared" si="44"/>
        <v>1.1525594835662009E-13</v>
      </c>
      <c r="AR62" s="550">
        <f t="shared" si="45"/>
        <v>1.1026721715366021E-11</v>
      </c>
      <c r="AS62" s="501" t="str">
        <f t="shared" si="0"/>
        <v>Jan</v>
      </c>
      <c r="AT62" s="495" t="str">
        <f t="shared" si="47"/>
        <v>normal</v>
      </c>
      <c r="AU62" s="539" t="str">
        <f t="shared" si="11"/>
        <v>Aug</v>
      </c>
      <c r="AV62" s="447">
        <f t="shared" si="12"/>
        <v>2023</v>
      </c>
      <c r="AW62" s="447" t="str">
        <f t="shared" si="22"/>
        <v>Aug 2023</v>
      </c>
      <c r="AX62" s="448">
        <f t="shared" si="42"/>
        <v>54</v>
      </c>
      <c r="AY62" s="496">
        <f>IF(OR(التوصية!$B$248='بيانات للادخال'!$F$2,التوصية!$B$248='بيانات للادخال'!$F$3),AZ62*(1+PNAVAT),IF(التوصية!$B$248='بيانات للادخال'!$F$4,(AZ62-BC62)+BC62*(1+PNAVAT)))</f>
        <v>0</v>
      </c>
      <c r="AZ62" s="496">
        <f t="shared" si="13"/>
        <v>0</v>
      </c>
      <c r="BA62" s="9">
        <f t="shared" si="54"/>
        <v>0</v>
      </c>
      <c r="BB62" s="9">
        <f t="shared" si="15"/>
        <v>0</v>
      </c>
      <c r="BC62" s="9">
        <f t="shared" si="23"/>
        <v>1.6319069351839913E-9</v>
      </c>
      <c r="BD62" s="9">
        <f t="shared" si="43"/>
        <v>-1.6319069351839913E-9</v>
      </c>
      <c r="BE62" s="9">
        <f t="shared" si="49"/>
        <v>1.4934745846338958E-7</v>
      </c>
      <c r="BF62" s="531">
        <f>IF($E$1='بيانات للادخال'!$M$2,IF(AND(OR(AX62=11+$Z$3,AX62=12+$Z$3,AX62=23+$Z$3,AX62=24+$Z$3,AX62=35+$Z$3,AX62=36+$Z$3,AX62=47+$Z$3,AX62=48+$Z$3,AX62=59+$Z$3,AX62=60+$Z$3),AX62&lt;=$G$3),$E$61/2,AY62),IF($E$1='بيانات للادخال'!$M$3,AC62))</f>
        <v>0</v>
      </c>
      <c r="BG62" s="547" t="str">
        <f t="shared" si="25"/>
        <v>Aug 2023</v>
      </c>
      <c r="BH62" s="541">
        <f t="shared" si="55"/>
        <v>0</v>
      </c>
      <c r="BI62" s="548">
        <f t="shared" si="56"/>
        <v>0</v>
      </c>
    </row>
    <row r="63" spans="1:61">
      <c r="A63" s="471" t="s">
        <v>272</v>
      </c>
      <c r="B63" s="554"/>
      <c r="D63" s="1396" t="s">
        <v>1536</v>
      </c>
      <c r="E63" s="1397"/>
      <c r="G63" s="536">
        <f t="shared" si="28"/>
        <v>2023</v>
      </c>
      <c r="H63" s="537" t="str">
        <f t="shared" si="16"/>
        <v>Sep</v>
      </c>
      <c r="I63" s="447">
        <f t="shared" si="29"/>
        <v>55</v>
      </c>
      <c r="J63" s="496">
        <f>IF(OR(التوصية!$B$248='بيانات للادخال'!$F$2,التوصية!$B$248='بيانات للادخال'!$F$3),K63*(1+PNAVAT),IF(التوصية!$B$248='بيانات للادخال'!$F$4,(K63-N63)+N63*(1+PNAVAT)))</f>
        <v>0</v>
      </c>
      <c r="K63" s="496">
        <f t="shared" si="17"/>
        <v>0</v>
      </c>
      <c r="L63" s="9">
        <f t="shared" si="50"/>
        <v>0</v>
      </c>
      <c r="M63" s="9">
        <f t="shared" si="2"/>
        <v>0</v>
      </c>
      <c r="N63" s="9">
        <f t="shared" si="18"/>
        <v>1.1894694933218398E-13</v>
      </c>
      <c r="O63" s="538">
        <f t="shared" si="30"/>
        <v>1.1379845707567764E-11</v>
      </c>
      <c r="P63" s="539" t="str">
        <f t="shared" si="3"/>
        <v>Sep</v>
      </c>
      <c r="Q63" s="447">
        <f t="shared" si="4"/>
        <v>2023</v>
      </c>
      <c r="R63" s="447">
        <f t="shared" si="31"/>
        <v>55</v>
      </c>
      <c r="S63" s="496">
        <f>IF(OR(التوصية!$B$248='بيانات للادخال'!$F$2,التوصية!$B$248='بيانات للادخال'!$F$3),T63*(1+PNAVAT),IF(التوصية!$B$248='بيانات للادخال'!$F$4,(T63-W63)+W63*(1+PNAVAT)))</f>
        <v>0</v>
      </c>
      <c r="T63" s="9">
        <f t="shared" si="19"/>
        <v>0</v>
      </c>
      <c r="U63" s="9">
        <f t="shared" si="51"/>
        <v>0</v>
      </c>
      <c r="V63" s="9">
        <f t="shared" si="6"/>
        <v>0</v>
      </c>
      <c r="W63" s="9">
        <f t="shared" si="20"/>
        <v>1.1894694933218398E-13</v>
      </c>
      <c r="X63" s="9">
        <f t="shared" si="32"/>
        <v>1.1379845707567764E-11</v>
      </c>
      <c r="Y63" s="538">
        <f t="shared" si="33"/>
        <v>-1.1894694933218398E-13</v>
      </c>
      <c r="Z63" s="494">
        <f t="shared" si="52"/>
        <v>2023</v>
      </c>
      <c r="AA63" s="537" t="str">
        <f t="shared" si="52"/>
        <v>Sep</v>
      </c>
      <c r="AB63" s="447">
        <f t="shared" si="34"/>
        <v>55</v>
      </c>
      <c r="AC63" s="496">
        <f>IF(OR(التوصية!$B$248='بيانات للادخال'!$F$2,التوصية!$B$248='بيانات للادخال'!$F$3),AD63*(1+PNAVAT),IF(التوصية!$B$248='بيانات للادخال'!$F$4,(AD63-AG63)+AG63*(1+PNAVAT)))</f>
        <v>0</v>
      </c>
      <c r="AD63" s="496">
        <f t="shared" si="8"/>
        <v>0</v>
      </c>
      <c r="AE63" s="9">
        <f t="shared" si="53"/>
        <v>0</v>
      </c>
      <c r="AF63" s="9">
        <f t="shared" si="10"/>
        <v>0</v>
      </c>
      <c r="AG63" s="9">
        <f t="shared" si="21"/>
        <v>1.1894694933218398E-13</v>
      </c>
      <c r="AH63" s="538">
        <f t="shared" si="35"/>
        <v>1.1379845707567764E-11</v>
      </c>
      <c r="AI63" s="549" t="str">
        <f t="shared" si="36"/>
        <v>normal</v>
      </c>
      <c r="AJ63" s="537" t="str">
        <f t="shared" si="37"/>
        <v>Jul</v>
      </c>
      <c r="AK63" s="447">
        <f t="shared" si="38"/>
        <v>2023</v>
      </c>
      <c r="AL63" s="447">
        <f t="shared" si="46"/>
        <v>53</v>
      </c>
      <c r="AM63" s="496">
        <f>IF(OR(التوصية!$B$248='بيانات للادخال'!$F$2,التوصية!$B$248='بيانات للادخال'!$F$3),AN63*(1+PNAVAT),IF(التوصية!$B$248='بيانات للادخال'!$F$4,(AN63-AQ63)+AQ63*(1+PNAVAT)))</f>
        <v>0</v>
      </c>
      <c r="AN63" s="496">
        <f t="shared" si="39"/>
        <v>0</v>
      </c>
      <c r="AO63" s="9">
        <f t="shared" si="57"/>
        <v>0</v>
      </c>
      <c r="AP63" s="9">
        <f t="shared" si="41"/>
        <v>0</v>
      </c>
      <c r="AQ63" s="9">
        <f t="shared" si="44"/>
        <v>1.1647337724429048E-13</v>
      </c>
      <c r="AR63" s="550">
        <f t="shared" si="45"/>
        <v>1.1143195092610312E-11</v>
      </c>
      <c r="AS63" s="501" t="str">
        <f t="shared" si="0"/>
        <v>Feb</v>
      </c>
      <c r="AT63" s="495" t="str">
        <f t="shared" si="47"/>
        <v>normal</v>
      </c>
      <c r="AU63" s="539" t="str">
        <f t="shared" si="11"/>
        <v>Sep</v>
      </c>
      <c r="AV63" s="447">
        <f t="shared" si="12"/>
        <v>2023</v>
      </c>
      <c r="AW63" s="447" t="str">
        <f t="shared" si="22"/>
        <v>Sep 2023</v>
      </c>
      <c r="AX63" s="448">
        <f t="shared" si="42"/>
        <v>55</v>
      </c>
      <c r="AY63" s="496">
        <f>IF(OR(التوصية!$B$248='بيانات للادخال'!$F$2,التوصية!$B$248='بيانات للادخال'!$F$3),AZ63*(1+PNAVAT),IF(التوصية!$B$248='بيانات للادخال'!$F$4,(AZ63-BC63)+BC63*(1+PNAVAT)))</f>
        <v>0</v>
      </c>
      <c r="AZ63" s="496">
        <f t="shared" si="13"/>
        <v>0</v>
      </c>
      <c r="BA63" s="9">
        <f t="shared" si="54"/>
        <v>0</v>
      </c>
      <c r="BB63" s="9">
        <f t="shared" si="15"/>
        <v>0</v>
      </c>
      <c r="BC63" s="9">
        <f t="shared" si="23"/>
        <v>1.6499356411499515E-9</v>
      </c>
      <c r="BD63" s="9">
        <f t="shared" si="43"/>
        <v>-1.6499356411499515E-9</v>
      </c>
      <c r="BE63" s="9">
        <f t="shared" si="49"/>
        <v>1.5099739410453955E-7</v>
      </c>
      <c r="BF63" s="531">
        <f>IF($E$1='بيانات للادخال'!$M$2,IF(AND(OR(AX63=11+$Z$3,AX63=12+$Z$3,AX63=23+$Z$3,AX63=24+$Z$3,AX63=35+$Z$3,AX63=36+$Z$3,AX63=47+$Z$3,AX63=48+$Z$3,AX63=59+$Z$3,AX63=60+$Z$3),AX63&lt;=$G$3),$E$61/2,AY63),IF($E$1='بيانات للادخال'!$M$3,AC63))</f>
        <v>0</v>
      </c>
      <c r="BG63" s="547" t="str">
        <f t="shared" si="25"/>
        <v>Sep 2023</v>
      </c>
      <c r="BH63" s="541">
        <f t="shared" si="55"/>
        <v>0</v>
      </c>
      <c r="BI63" s="548">
        <f t="shared" si="56"/>
        <v>0</v>
      </c>
    </row>
    <row r="64" spans="1:61">
      <c r="A64" s="471" t="s">
        <v>273</v>
      </c>
      <c r="B64" s="554"/>
      <c r="D64" s="1014" t="s">
        <v>434</v>
      </c>
      <c r="E64" s="1015" t="e">
        <f>IF(FC=USD,#REF!,IF(FC=ILS,#REF!*usdrate,IF(FC=EUR,#REF!/eurrate)))</f>
        <v>#REF!</v>
      </c>
      <c r="G64" s="536">
        <f t="shared" si="28"/>
        <v>2023</v>
      </c>
      <c r="H64" s="537" t="str">
        <f t="shared" si="16"/>
        <v>Oct</v>
      </c>
      <c r="I64" s="447">
        <f t="shared" si="29"/>
        <v>56</v>
      </c>
      <c r="J64" s="496">
        <f>IF(OR(التوصية!$B$248='بيانات للادخال'!$F$2,التوصية!$B$248='بيانات للادخال'!$F$3),K64*(1+PNAVAT),IF(التوصية!$B$248='بيانات للادخال'!$F$4,(K64-N64)+N64*(1+PNAVAT)))</f>
        <v>0</v>
      </c>
      <c r="K64" s="496">
        <f t="shared" si="17"/>
        <v>0</v>
      </c>
      <c r="L64" s="9">
        <f t="shared" si="50"/>
        <v>0</v>
      </c>
      <c r="M64" s="9">
        <f t="shared" si="2"/>
        <v>0</v>
      </c>
      <c r="N64" s="9">
        <f t="shared" si="18"/>
        <v>1.2020336563244471E-13</v>
      </c>
      <c r="O64" s="538">
        <f t="shared" si="30"/>
        <v>1.1500049073200209E-11</v>
      </c>
      <c r="P64" s="539" t="str">
        <f t="shared" si="3"/>
        <v>Oct</v>
      </c>
      <c r="Q64" s="447">
        <f t="shared" si="4"/>
        <v>2023</v>
      </c>
      <c r="R64" s="447">
        <f t="shared" si="31"/>
        <v>56</v>
      </c>
      <c r="S64" s="496">
        <f>IF(OR(التوصية!$B$248='بيانات للادخال'!$F$2,التوصية!$B$248='بيانات للادخال'!$F$3),T64*(1+PNAVAT),IF(التوصية!$B$248='بيانات للادخال'!$F$4,(T64-W64)+W64*(1+PNAVAT)))</f>
        <v>0</v>
      </c>
      <c r="T64" s="9">
        <f t="shared" si="19"/>
        <v>0</v>
      </c>
      <c r="U64" s="9">
        <f t="shared" si="51"/>
        <v>0</v>
      </c>
      <c r="V64" s="9">
        <f t="shared" si="6"/>
        <v>0</v>
      </c>
      <c r="W64" s="9">
        <f t="shared" si="20"/>
        <v>1.2020336563244471E-13</v>
      </c>
      <c r="X64" s="9">
        <f t="shared" si="32"/>
        <v>1.1500049073200209E-11</v>
      </c>
      <c r="Y64" s="538">
        <f t="shared" si="33"/>
        <v>-1.2020336563244471E-13</v>
      </c>
      <c r="Z64" s="494">
        <f t="shared" si="52"/>
        <v>2023</v>
      </c>
      <c r="AA64" s="537" t="str">
        <f t="shared" si="52"/>
        <v>Oct</v>
      </c>
      <c r="AB64" s="447">
        <f t="shared" si="34"/>
        <v>56</v>
      </c>
      <c r="AC64" s="496">
        <f>IF(OR(التوصية!$B$248='بيانات للادخال'!$F$2,التوصية!$B$248='بيانات للادخال'!$F$3),AD64*(1+PNAVAT),IF(التوصية!$B$248='بيانات للادخال'!$F$4,(AD64-AG64)+AG64*(1+PNAVAT)))</f>
        <v>0</v>
      </c>
      <c r="AD64" s="496">
        <f t="shared" si="8"/>
        <v>0</v>
      </c>
      <c r="AE64" s="9">
        <f t="shared" si="53"/>
        <v>0</v>
      </c>
      <c r="AF64" s="9">
        <f t="shared" si="10"/>
        <v>0</v>
      </c>
      <c r="AG64" s="9">
        <f t="shared" si="21"/>
        <v>1.2020336563244471E-13</v>
      </c>
      <c r="AH64" s="538">
        <f t="shared" si="35"/>
        <v>1.1500049073200209E-11</v>
      </c>
      <c r="AI64" s="549" t="str">
        <f t="shared" si="36"/>
        <v>normal</v>
      </c>
      <c r="AJ64" s="537" t="str">
        <f t="shared" si="37"/>
        <v>Aug</v>
      </c>
      <c r="AK64" s="447">
        <f t="shared" si="38"/>
        <v>2023</v>
      </c>
      <c r="AL64" s="447">
        <f t="shared" si="46"/>
        <v>54</v>
      </c>
      <c r="AM64" s="496">
        <f>IF(OR(التوصية!$B$248='بيانات للادخال'!$F$2,التوصية!$B$248='بيانات للادخال'!$F$3),AN64*(1+PNAVAT),IF(التوصية!$B$248='بيانات للادخال'!$F$4,(AN64-AQ64)+AQ64*(1+PNAVAT)))</f>
        <v>0</v>
      </c>
      <c r="AN64" s="496">
        <f t="shared" si="39"/>
        <v>0</v>
      </c>
      <c r="AO64" s="9">
        <f t="shared" si="57"/>
        <v>0</v>
      </c>
      <c r="AP64" s="9">
        <f t="shared" si="41"/>
        <v>0</v>
      </c>
      <c r="AQ64" s="9">
        <f t="shared" si="44"/>
        <v>1.177036656252683E-13</v>
      </c>
      <c r="AR64" s="550">
        <f t="shared" si="45"/>
        <v>1.126089875823558E-11</v>
      </c>
      <c r="AS64" s="501" t="str">
        <f t="shared" si="0"/>
        <v>Mar</v>
      </c>
      <c r="AT64" s="495" t="str">
        <f t="shared" si="47"/>
        <v>normal</v>
      </c>
      <c r="AU64" s="539" t="str">
        <f t="shared" si="11"/>
        <v>Oct</v>
      </c>
      <c r="AV64" s="447">
        <f t="shared" si="12"/>
        <v>2023</v>
      </c>
      <c r="AW64" s="447" t="str">
        <f t="shared" si="22"/>
        <v>Oct 2023</v>
      </c>
      <c r="AX64" s="448">
        <f t="shared" si="42"/>
        <v>56</v>
      </c>
      <c r="AY64" s="496">
        <f>IF(OR(التوصية!$B$248='بيانات للادخال'!$F$2,التوصية!$B$248='بيانات للادخال'!$F$3),AZ64*(1+PNAVAT),IF(التوصية!$B$248='بيانات للادخال'!$F$4,(AZ64-BC64)+BC64*(1+PNAVAT)))</f>
        <v>0</v>
      </c>
      <c r="AZ64" s="496">
        <f t="shared" si="13"/>
        <v>0</v>
      </c>
      <c r="BA64" s="9">
        <f t="shared" si="54"/>
        <v>0</v>
      </c>
      <c r="BB64" s="9">
        <f t="shared" si="15"/>
        <v>0</v>
      </c>
      <c r="BC64" s="9">
        <f t="shared" si="23"/>
        <v>1.6681635216103628E-9</v>
      </c>
      <c r="BD64" s="9">
        <f t="shared" si="43"/>
        <v>-1.6681635216103628E-9</v>
      </c>
      <c r="BE64" s="9">
        <f t="shared" si="49"/>
        <v>1.5266555762614992E-7</v>
      </c>
      <c r="BF64" s="531">
        <f>IF($E$1='بيانات للادخال'!$M$2,IF(AND(OR(AX64=11+$Z$3,AX64=12+$Z$3,AX64=23+$Z$3,AX64=24+$Z$3,AX64=35+$Z$3,AX64=36+$Z$3,AX64=47+$Z$3,AX64=48+$Z$3,AX64=59+$Z$3,AX64=60+$Z$3),AX64&lt;=$G$3),$E$61/2,AY64),IF($E$1='بيانات للادخال'!$M$3,AC64))</f>
        <v>0</v>
      </c>
      <c r="BG64" s="547" t="str">
        <f t="shared" si="25"/>
        <v>Oct 2023</v>
      </c>
      <c r="BH64" s="541">
        <f t="shared" si="55"/>
        <v>0</v>
      </c>
      <c r="BI64" s="548">
        <f t="shared" si="56"/>
        <v>0</v>
      </c>
    </row>
    <row r="65" spans="1:61">
      <c r="A65" s="471" t="s">
        <v>274</v>
      </c>
      <c r="B65" s="554"/>
      <c r="D65" s="1014" t="s">
        <v>433</v>
      </c>
      <c r="E65" s="1015" t="e">
        <f>IF(FC=USD,#REF!,IF(FC=ILS,#REF!*usdrate,IF(FC=EUR,#REF!/eurrate)))</f>
        <v>#REF!</v>
      </c>
      <c r="G65" s="536">
        <f t="shared" si="28"/>
        <v>2023</v>
      </c>
      <c r="H65" s="537" t="str">
        <f t="shared" si="16"/>
        <v>Nov</v>
      </c>
      <c r="I65" s="447">
        <f t="shared" si="29"/>
        <v>57</v>
      </c>
      <c r="J65" s="496">
        <f>IF(OR(التوصية!$B$248='بيانات للادخال'!$F$2,التوصية!$B$248='بيانات للادخال'!$F$3),K65*(1+PNAVAT),IF(التوصية!$B$248='بيانات للادخال'!$F$4,(K65-N65)+N65*(1+PNAVAT)))</f>
        <v>0</v>
      </c>
      <c r="K65" s="496">
        <f t="shared" si="17"/>
        <v>0</v>
      </c>
      <c r="L65" s="9">
        <f t="shared" si="50"/>
        <v>0</v>
      </c>
      <c r="M65" s="9">
        <f t="shared" si="2"/>
        <v>0</v>
      </c>
      <c r="N65" s="9">
        <f t="shared" si="18"/>
        <v>1.2147305324338998E-13</v>
      </c>
      <c r="O65" s="538">
        <f t="shared" si="30"/>
        <v>1.16215221264436E-11</v>
      </c>
      <c r="P65" s="539" t="str">
        <f t="shared" si="3"/>
        <v>Nov</v>
      </c>
      <c r="Q65" s="447">
        <f t="shared" si="4"/>
        <v>2023</v>
      </c>
      <c r="R65" s="447">
        <f t="shared" si="31"/>
        <v>57</v>
      </c>
      <c r="S65" s="496">
        <f>IF(OR(التوصية!$B$248='بيانات للادخال'!$F$2,التوصية!$B$248='بيانات للادخال'!$F$3),T65*(1+PNAVAT),IF(التوصية!$B$248='بيانات للادخال'!$F$4,(T65-W65)+W65*(1+PNAVAT)))</f>
        <v>0</v>
      </c>
      <c r="T65" s="9">
        <f t="shared" si="19"/>
        <v>0</v>
      </c>
      <c r="U65" s="9">
        <f t="shared" si="51"/>
        <v>0</v>
      </c>
      <c r="V65" s="9">
        <f t="shared" si="6"/>
        <v>0</v>
      </c>
      <c r="W65" s="9">
        <f t="shared" si="20"/>
        <v>1.2147305324338998E-13</v>
      </c>
      <c r="X65" s="9">
        <f t="shared" si="32"/>
        <v>1.16215221264436E-11</v>
      </c>
      <c r="Y65" s="538">
        <f t="shared" si="33"/>
        <v>-1.2147305324338998E-13</v>
      </c>
      <c r="Z65" s="494">
        <f t="shared" si="52"/>
        <v>2023</v>
      </c>
      <c r="AA65" s="537" t="str">
        <f t="shared" si="52"/>
        <v>Nov</v>
      </c>
      <c r="AB65" s="447">
        <f t="shared" si="34"/>
        <v>57</v>
      </c>
      <c r="AC65" s="496">
        <f>IF(OR(التوصية!$B$248='بيانات للادخال'!$F$2,التوصية!$B$248='بيانات للادخال'!$F$3),AD65*(1+PNAVAT),IF(التوصية!$B$248='بيانات للادخال'!$F$4,(AD65-AG65)+AG65*(1+PNAVAT)))</f>
        <v>0</v>
      </c>
      <c r="AD65" s="496">
        <f t="shared" si="8"/>
        <v>0</v>
      </c>
      <c r="AE65" s="9">
        <f t="shared" si="53"/>
        <v>0</v>
      </c>
      <c r="AF65" s="9">
        <f t="shared" si="10"/>
        <v>0</v>
      </c>
      <c r="AG65" s="9">
        <f t="shared" si="21"/>
        <v>1.2147305324338998E-13</v>
      </c>
      <c r="AH65" s="538">
        <f t="shared" si="35"/>
        <v>1.16215221264436E-11</v>
      </c>
      <c r="AI65" s="549" t="str">
        <f t="shared" si="36"/>
        <v>normal</v>
      </c>
      <c r="AJ65" s="537" t="str">
        <f t="shared" si="37"/>
        <v>Sep</v>
      </c>
      <c r="AK65" s="447">
        <f t="shared" si="38"/>
        <v>2023</v>
      </c>
      <c r="AL65" s="447">
        <f t="shared" si="46"/>
        <v>55</v>
      </c>
      <c r="AM65" s="496">
        <f>IF(OR(التوصية!$B$248='بيانات للادخال'!$F$2,التوصية!$B$248='بيانات للادخال'!$F$3),AN65*(1+PNAVAT),IF(التوصية!$B$248='بيانات للادخال'!$F$4,(AN65-AQ65)+AQ65*(1+PNAVAT)))</f>
        <v>0</v>
      </c>
      <c r="AN65" s="496">
        <f t="shared" si="39"/>
        <v>0</v>
      </c>
      <c r="AO65" s="9">
        <f t="shared" si="57"/>
        <v>0</v>
      </c>
      <c r="AP65" s="9">
        <f t="shared" si="41"/>
        <v>0</v>
      </c>
      <c r="AQ65" s="9">
        <f t="shared" si="44"/>
        <v>1.1894694933218398E-13</v>
      </c>
      <c r="AR65" s="550">
        <f t="shared" si="45"/>
        <v>1.1379845707567764E-11</v>
      </c>
      <c r="AS65" s="501" t="str">
        <f t="shared" si="0"/>
        <v>Apr</v>
      </c>
      <c r="AT65" s="495" t="str">
        <f t="shared" si="47"/>
        <v>normal</v>
      </c>
      <c r="AU65" s="539" t="str">
        <f t="shared" si="11"/>
        <v>Nov</v>
      </c>
      <c r="AV65" s="447">
        <f t="shared" si="12"/>
        <v>2023</v>
      </c>
      <c r="AW65" s="447" t="str">
        <f t="shared" si="22"/>
        <v>Nov 2023</v>
      </c>
      <c r="AX65" s="448">
        <f t="shared" si="42"/>
        <v>57</v>
      </c>
      <c r="AY65" s="496">
        <f>IF(OR(التوصية!$B$248='بيانات للادخال'!$F$2,التوصية!$B$248='بيانات للادخال'!$F$3),AZ65*(1+PNAVAT),IF(التوصية!$B$248='بيانات للادخال'!$F$4,(AZ65-BC65)+BC65*(1+PNAVAT)))</f>
        <v>0</v>
      </c>
      <c r="AZ65" s="496">
        <f t="shared" si="13"/>
        <v>0</v>
      </c>
      <c r="BA65" s="9">
        <f t="shared" si="54"/>
        <v>0</v>
      </c>
      <c r="BB65" s="9">
        <f t="shared" si="15"/>
        <v>0</v>
      </c>
      <c r="BC65" s="9">
        <f t="shared" si="23"/>
        <v>1.6865927769715837E-9</v>
      </c>
      <c r="BD65" s="9">
        <f t="shared" si="43"/>
        <v>-1.6865927769715837E-9</v>
      </c>
      <c r="BE65" s="9">
        <f t="shared" si="49"/>
        <v>1.543521504031215E-7</v>
      </c>
      <c r="BF65" s="531">
        <f>IF($E$1='بيانات للادخال'!$M$2,IF(AND(OR(AX65=11+$Z$3,AX65=12+$Z$3,AX65=23+$Z$3,AX65=24+$Z$3,AX65=35+$Z$3,AX65=36+$Z$3,AX65=47+$Z$3,AX65=48+$Z$3,AX65=59+$Z$3,AX65=60+$Z$3),AX65&lt;=$G$3),$E$61/2,AY65),IF($E$1='بيانات للادخال'!$M$3,AC65))</f>
        <v>0</v>
      </c>
      <c r="BG65" s="547" t="str">
        <f t="shared" si="25"/>
        <v>Nov 2023</v>
      </c>
      <c r="BH65" s="541">
        <f t="shared" si="55"/>
        <v>0</v>
      </c>
      <c r="BI65" s="548">
        <f t="shared" si="56"/>
        <v>0</v>
      </c>
    </row>
    <row r="66" spans="1:61">
      <c r="A66" s="471" t="s">
        <v>275</v>
      </c>
      <c r="B66" s="554"/>
      <c r="D66" s="1016" t="e">
        <f>"القسط الشهري بواقع عشر شهور في السنة مع احتساب التأمين" &amp; TEXT(الحاسبة!$AU$3*12/10, "0,0")&amp;" دولار" &amp;"بحيث يصبح عبء الدين للزبون " &amp;TEXT(((الحاسبة!$AU$3*12/10+الاستعلام!K128)/التوصية!B291*100),"0,0")&amp;"%"</f>
        <v>#DIV/0!</v>
      </c>
      <c r="E66" s="1017"/>
      <c r="G66" s="536">
        <f t="shared" si="28"/>
        <v>2023</v>
      </c>
      <c r="H66" s="537" t="str">
        <f t="shared" si="16"/>
        <v>Dec</v>
      </c>
      <c r="I66" s="447">
        <f t="shared" si="29"/>
        <v>58</v>
      </c>
      <c r="J66" s="496">
        <f>IF(OR(التوصية!$B$248='بيانات للادخال'!$F$2,التوصية!$B$248='بيانات للادخال'!$F$3),K66*(1+PNAVAT),IF(التوصية!$B$248='بيانات للادخال'!$F$4,(K66-N66)+N66*(1+PNAVAT)))</f>
        <v>0</v>
      </c>
      <c r="K66" s="496">
        <f t="shared" si="17"/>
        <v>0</v>
      </c>
      <c r="L66" s="9">
        <f t="shared" si="50"/>
        <v>0</v>
      </c>
      <c r="M66" s="9">
        <f t="shared" si="2"/>
        <v>0</v>
      </c>
      <c r="N66" s="9">
        <f t="shared" si="18"/>
        <v>1.2275615234760668E-13</v>
      </c>
      <c r="O66" s="538">
        <f t="shared" si="30"/>
        <v>1.1744278278791206E-11</v>
      </c>
      <c r="P66" s="539" t="str">
        <f t="shared" si="3"/>
        <v>Dec</v>
      </c>
      <c r="Q66" s="447">
        <f t="shared" si="4"/>
        <v>2023</v>
      </c>
      <c r="R66" s="447">
        <f t="shared" si="31"/>
        <v>58</v>
      </c>
      <c r="S66" s="496">
        <f>IF(OR(التوصية!$B$248='بيانات للادخال'!$F$2,التوصية!$B$248='بيانات للادخال'!$F$3),T66*(1+PNAVAT),IF(التوصية!$B$248='بيانات للادخال'!$F$4,(T66-W66)+W66*(1+PNAVAT)))</f>
        <v>0</v>
      </c>
      <c r="T66" s="9">
        <f t="shared" si="19"/>
        <v>0</v>
      </c>
      <c r="U66" s="9">
        <f t="shared" si="51"/>
        <v>0</v>
      </c>
      <c r="V66" s="9">
        <f t="shared" si="6"/>
        <v>0</v>
      </c>
      <c r="W66" s="9">
        <f t="shared" si="20"/>
        <v>1.2275615234760668E-13</v>
      </c>
      <c r="X66" s="9">
        <f t="shared" si="32"/>
        <v>1.1744278278791206E-11</v>
      </c>
      <c r="Y66" s="538">
        <f t="shared" si="33"/>
        <v>-1.2275615234760668E-13</v>
      </c>
      <c r="Z66" s="494">
        <f t="shared" si="52"/>
        <v>2023</v>
      </c>
      <c r="AA66" s="537" t="str">
        <f t="shared" si="52"/>
        <v>Dec</v>
      </c>
      <c r="AB66" s="447">
        <f t="shared" si="34"/>
        <v>58</v>
      </c>
      <c r="AC66" s="496">
        <f>IF(OR(التوصية!$B$248='بيانات للادخال'!$F$2,التوصية!$B$248='بيانات للادخال'!$F$3),AD66*(1+PNAVAT),IF(التوصية!$B$248='بيانات للادخال'!$F$4,(AD66-AG66)+AG66*(1+PNAVAT)))</f>
        <v>0</v>
      </c>
      <c r="AD66" s="496">
        <f t="shared" si="8"/>
        <v>0</v>
      </c>
      <c r="AE66" s="9">
        <f t="shared" si="53"/>
        <v>0</v>
      </c>
      <c r="AF66" s="9">
        <f t="shared" si="10"/>
        <v>0</v>
      </c>
      <c r="AG66" s="9">
        <f t="shared" si="21"/>
        <v>1.2275615234760668E-13</v>
      </c>
      <c r="AH66" s="538">
        <f t="shared" si="35"/>
        <v>1.1744278278791206E-11</v>
      </c>
      <c r="AI66" s="549" t="str">
        <f t="shared" si="36"/>
        <v>normal</v>
      </c>
      <c r="AJ66" s="537" t="str">
        <f t="shared" si="37"/>
        <v>Oct</v>
      </c>
      <c r="AK66" s="447">
        <f t="shared" si="38"/>
        <v>2023</v>
      </c>
      <c r="AL66" s="447">
        <f t="shared" si="46"/>
        <v>56</v>
      </c>
      <c r="AM66" s="496">
        <f>IF(OR(التوصية!$B$248='بيانات للادخال'!$F$2,التوصية!$B$248='بيانات للادخال'!$F$3),AN66*(1+PNAVAT),IF(التوصية!$B$248='بيانات للادخال'!$F$4,(AN66-AQ66)+AQ66*(1+PNAVAT)))</f>
        <v>0</v>
      </c>
      <c r="AN66" s="496">
        <f t="shared" si="39"/>
        <v>0</v>
      </c>
      <c r="AO66" s="9">
        <f t="shared" si="57"/>
        <v>0</v>
      </c>
      <c r="AP66" s="9">
        <f t="shared" si="41"/>
        <v>0</v>
      </c>
      <c r="AQ66" s="9">
        <f t="shared" si="44"/>
        <v>1.2020336563244471E-13</v>
      </c>
      <c r="AR66" s="550">
        <f t="shared" si="45"/>
        <v>1.1500049073200209E-11</v>
      </c>
      <c r="AS66" s="501" t="str">
        <f t="shared" si="0"/>
        <v>May</v>
      </c>
      <c r="AT66" s="495" t="str">
        <f t="shared" si="47"/>
        <v>normal</v>
      </c>
      <c r="AU66" s="539" t="str">
        <f t="shared" si="11"/>
        <v>Dec</v>
      </c>
      <c r="AV66" s="447">
        <f t="shared" si="12"/>
        <v>2023</v>
      </c>
      <c r="AW66" s="447" t="str">
        <f t="shared" si="22"/>
        <v>Dec 2023</v>
      </c>
      <c r="AX66" s="448">
        <f t="shared" si="42"/>
        <v>58</v>
      </c>
      <c r="AY66" s="496">
        <f>IF(OR(التوصية!$B$248='بيانات للادخال'!$F$2,التوصية!$B$248='بيانات للادخال'!$F$3),AZ66*(1+PNAVAT),IF(التوصية!$B$248='بيانات للادخال'!$F$4,(AZ66-BC66)+BC66*(1+PNAVAT)))</f>
        <v>0</v>
      </c>
      <c r="AZ66" s="496">
        <f t="shared" si="13"/>
        <v>0</v>
      </c>
      <c r="BA66" s="9">
        <f t="shared" si="54"/>
        <v>0</v>
      </c>
      <c r="BB66" s="9">
        <f t="shared" si="15"/>
        <v>0</v>
      </c>
      <c r="BC66" s="9">
        <f t="shared" si="23"/>
        <v>1.7052256319492508E-9</v>
      </c>
      <c r="BD66" s="9">
        <f t="shared" si="43"/>
        <v>-1.7052256319492508E-9</v>
      </c>
      <c r="BE66" s="9">
        <f t="shared" si="49"/>
        <v>1.5605737603507076E-7</v>
      </c>
      <c r="BF66" s="531">
        <f>IF($E$1='بيانات للادخال'!$M$2,IF(AND(OR(AX66=11+$Z$3,AX66=12+$Z$3,AX66=23+$Z$3,AX66=24+$Z$3,AX66=35+$Z$3,AX66=36+$Z$3,AX66=47+$Z$3,AX66=48+$Z$3,AX66=59+$Z$3,AX66=60+$Z$3),AX66&lt;=$G$3),$E$61/2,AY66),IF($E$1='بيانات للادخال'!$M$3,AC66))</f>
        <v>0</v>
      </c>
      <c r="BG66" s="547" t="str">
        <f t="shared" si="25"/>
        <v>Dec 2023</v>
      </c>
      <c r="BH66" s="541">
        <f t="shared" si="55"/>
        <v>0</v>
      </c>
      <c r="BI66" s="548">
        <f t="shared" si="56"/>
        <v>0</v>
      </c>
    </row>
    <row r="67" spans="1:61">
      <c r="A67" s="471" t="s">
        <v>276</v>
      </c>
      <c r="B67" s="554"/>
      <c r="G67" s="536">
        <f t="shared" si="28"/>
        <v>2024</v>
      </c>
      <c r="H67" s="537" t="str">
        <f t="shared" si="16"/>
        <v>Jan</v>
      </c>
      <c r="I67" s="447">
        <f t="shared" si="29"/>
        <v>59</v>
      </c>
      <c r="J67" s="496">
        <f>IF(OR(التوصية!$B$248='بيانات للادخال'!$F$2,التوصية!$B$248='بيانات للادخال'!$F$3),K67*(1+PNAVAT),IF(التوصية!$B$248='بيانات للادخال'!$F$4,(K67-N67)+N67*(1+PNAVAT)))</f>
        <v>0</v>
      </c>
      <c r="K67" s="496">
        <f t="shared" si="17"/>
        <v>0</v>
      </c>
      <c r="L67" s="9">
        <f t="shared" si="50"/>
        <v>0</v>
      </c>
      <c r="M67" s="9">
        <f t="shared" si="2"/>
        <v>0</v>
      </c>
      <c r="N67" s="9">
        <f t="shared" si="18"/>
        <v>1.2405280460840655E-13</v>
      </c>
      <c r="O67" s="538">
        <f t="shared" si="30"/>
        <v>1.1868331083399612E-11</v>
      </c>
      <c r="P67" s="539" t="str">
        <f t="shared" si="3"/>
        <v>Jan</v>
      </c>
      <c r="Q67" s="447">
        <f t="shared" si="4"/>
        <v>2024</v>
      </c>
      <c r="R67" s="447">
        <f t="shared" si="31"/>
        <v>59</v>
      </c>
      <c r="S67" s="496">
        <f>IF(OR(التوصية!$B$248='بيانات للادخال'!$F$2,التوصية!$B$248='بيانات للادخال'!$F$3),T67*(1+PNAVAT),IF(التوصية!$B$248='بيانات للادخال'!$F$4,(T67-W67)+W67*(1+PNAVAT)))</f>
        <v>0</v>
      </c>
      <c r="T67" s="9">
        <f t="shared" si="19"/>
        <v>0</v>
      </c>
      <c r="U67" s="9">
        <f t="shared" si="51"/>
        <v>0</v>
      </c>
      <c r="V67" s="9">
        <f t="shared" si="6"/>
        <v>0</v>
      </c>
      <c r="W67" s="9">
        <f t="shared" si="20"/>
        <v>1.2405280460840655E-13</v>
      </c>
      <c r="X67" s="9">
        <f t="shared" si="32"/>
        <v>1.1868331083399612E-11</v>
      </c>
      <c r="Y67" s="538">
        <f t="shared" si="33"/>
        <v>-1.2405280460840655E-13</v>
      </c>
      <c r="Z67" s="494">
        <f t="shared" si="52"/>
        <v>2024</v>
      </c>
      <c r="AA67" s="537" t="str">
        <f t="shared" si="52"/>
        <v>Jan</v>
      </c>
      <c r="AB67" s="447">
        <f t="shared" si="34"/>
        <v>59</v>
      </c>
      <c r="AC67" s="496">
        <f>IF(OR(التوصية!$B$248='بيانات للادخال'!$F$2,التوصية!$B$248='بيانات للادخال'!$F$3),AD67*(1+PNAVAT),IF(التوصية!$B$248='بيانات للادخال'!$F$4,(AD67-AG67)+AG67*(1+PNAVAT)))</f>
        <v>0</v>
      </c>
      <c r="AD67" s="496">
        <f t="shared" si="8"/>
        <v>0</v>
      </c>
      <c r="AE67" s="9">
        <f t="shared" si="53"/>
        <v>0</v>
      </c>
      <c r="AF67" s="9">
        <f t="shared" si="10"/>
        <v>0</v>
      </c>
      <c r="AG67" s="9">
        <f t="shared" si="21"/>
        <v>1.2405280460840655E-13</v>
      </c>
      <c r="AH67" s="538">
        <f t="shared" si="35"/>
        <v>1.1868331083399612E-11</v>
      </c>
      <c r="AI67" s="549" t="str">
        <f t="shared" si="36"/>
        <v>normal</v>
      </c>
      <c r="AJ67" s="537" t="str">
        <f t="shared" si="37"/>
        <v>Nov</v>
      </c>
      <c r="AK67" s="447">
        <f t="shared" si="38"/>
        <v>2023</v>
      </c>
      <c r="AL67" s="447">
        <f t="shared" si="46"/>
        <v>57</v>
      </c>
      <c r="AM67" s="496">
        <f>IF(OR(التوصية!$B$248='بيانات للادخال'!$F$2,التوصية!$B$248='بيانات للادخال'!$F$3),AN67*(1+PNAVAT),IF(التوصية!$B$248='بيانات للادخال'!$F$4,(AN67-AQ67)+AQ67*(1+PNAVAT)))</f>
        <v>0</v>
      </c>
      <c r="AN67" s="496">
        <f t="shared" si="39"/>
        <v>0</v>
      </c>
      <c r="AO67" s="9">
        <f t="shared" si="57"/>
        <v>0</v>
      </c>
      <c r="AP67" s="9">
        <f t="shared" si="41"/>
        <v>0</v>
      </c>
      <c r="AQ67" s="9">
        <f t="shared" si="44"/>
        <v>1.2147305324338998E-13</v>
      </c>
      <c r="AR67" s="550">
        <f t="shared" si="45"/>
        <v>1.16215221264436E-11</v>
      </c>
      <c r="AS67" s="501" t="str">
        <f t="shared" si="0"/>
        <v>Jun</v>
      </c>
      <c r="AT67" s="495" t="str">
        <f t="shared" si="47"/>
        <v>normal</v>
      </c>
      <c r="AU67" s="539" t="str">
        <f t="shared" si="11"/>
        <v>Jan</v>
      </c>
      <c r="AV67" s="447">
        <f t="shared" si="12"/>
        <v>2024</v>
      </c>
      <c r="AW67" s="447" t="str">
        <f t="shared" si="22"/>
        <v>Jan 2024</v>
      </c>
      <c r="AX67" s="448">
        <f t="shared" si="42"/>
        <v>59</v>
      </c>
      <c r="AY67" s="496">
        <f>IF(OR(التوصية!$B$248='بيانات للادخال'!$F$2,التوصية!$B$248='بيانات للادخال'!$F$3),AZ67*(1+PNAVAT),IF(التوصية!$B$248='بيانات للادخال'!$F$4,(AZ67-BC67)+BC67*(1+PNAVAT)))</f>
        <v>0</v>
      </c>
      <c r="AZ67" s="496">
        <f t="shared" si="13"/>
        <v>0</v>
      </c>
      <c r="BA67" s="9">
        <f t="shared" si="54"/>
        <v>0</v>
      </c>
      <c r="BB67" s="9">
        <f t="shared" si="15"/>
        <v>0</v>
      </c>
      <c r="BC67" s="9">
        <f t="shared" si="23"/>
        <v>1.7240643358368381E-9</v>
      </c>
      <c r="BD67" s="9">
        <f t="shared" si="43"/>
        <v>-1.7240643358368381E-9</v>
      </c>
      <c r="BE67" s="9">
        <f t="shared" si="49"/>
        <v>1.5778144037090758E-7</v>
      </c>
      <c r="BF67" s="531">
        <f>IF($E$1='بيانات للادخال'!$M$2,IF(AND(OR(AX67=11+$Z$3,AX67=12+$Z$3,AX67=23+$Z$3,AX67=24+$Z$3,AX67=35+$Z$3,AX67=36+$Z$3,AX67=47+$Z$3,AX67=48+$Z$3,AX67=59+$Z$3,AX67=60+$Z$3),AX67&lt;=$G$3),$E$61/2,AY67),IF($E$1='بيانات للادخال'!$M$3,AC67))</f>
        <v>0</v>
      </c>
      <c r="BG67" s="547" t="str">
        <f t="shared" si="25"/>
        <v>Jan 2024</v>
      </c>
      <c r="BH67" s="541">
        <f t="shared" si="55"/>
        <v>0</v>
      </c>
      <c r="BI67" s="548">
        <f t="shared" si="56"/>
        <v>0</v>
      </c>
    </row>
    <row r="68" spans="1:61">
      <c r="A68" s="471" t="s">
        <v>277</v>
      </c>
      <c r="B68" s="554"/>
      <c r="D68" s="555"/>
      <c r="E68" s="555"/>
      <c r="G68" s="536">
        <f t="shared" si="28"/>
        <v>2024</v>
      </c>
      <c r="H68" s="537" t="str">
        <f t="shared" si="16"/>
        <v>Feb</v>
      </c>
      <c r="I68" s="447">
        <f t="shared" si="29"/>
        <v>60</v>
      </c>
      <c r="J68" s="496">
        <f>IF(OR(التوصية!$B$248='بيانات للادخال'!$F$2,التوصية!$B$248='بيانات للادخال'!$F$3),K68*(1+PNAVAT),IF(التوصية!$B$248='بيانات للادخال'!$F$4,(K68-N68)+N68*(1+PNAVAT)))</f>
        <v>0</v>
      </c>
      <c r="K68" s="496">
        <f t="shared" si="17"/>
        <v>0</v>
      </c>
      <c r="L68" s="9">
        <f t="shared" si="50"/>
        <v>0</v>
      </c>
      <c r="M68" s="9">
        <f t="shared" si="2"/>
        <v>0</v>
      </c>
      <c r="N68" s="9">
        <f t="shared" si="18"/>
        <v>1.2536315318546662E-13</v>
      </c>
      <c r="O68" s="538">
        <f t="shared" si="30"/>
        <v>1.1993694236585079E-11</v>
      </c>
      <c r="P68" s="539" t="str">
        <f t="shared" si="3"/>
        <v>Feb</v>
      </c>
      <c r="Q68" s="447">
        <f t="shared" si="4"/>
        <v>2024</v>
      </c>
      <c r="R68" s="447">
        <f t="shared" si="31"/>
        <v>60</v>
      </c>
      <c r="S68" s="496">
        <f>IF(OR(التوصية!$B$248='بيانات للادخال'!$F$2,التوصية!$B$248='بيانات للادخال'!$F$3),T68*(1+PNAVAT),IF(التوصية!$B$248='بيانات للادخال'!$F$4,(T68-W68)+W68*(1+PNAVAT)))</f>
        <v>0</v>
      </c>
      <c r="T68" s="9">
        <f t="shared" si="19"/>
        <v>0</v>
      </c>
      <c r="U68" s="9">
        <f t="shared" si="51"/>
        <v>0</v>
      </c>
      <c r="V68" s="9">
        <f t="shared" si="6"/>
        <v>0</v>
      </c>
      <c r="W68" s="9">
        <f t="shared" si="20"/>
        <v>1.2536315318546662E-13</v>
      </c>
      <c r="X68" s="9">
        <f t="shared" si="32"/>
        <v>1.1993694236585079E-11</v>
      </c>
      <c r="Y68" s="538">
        <f t="shared" si="33"/>
        <v>-1.2536315318546662E-13</v>
      </c>
      <c r="Z68" s="494">
        <f t="shared" si="52"/>
        <v>2024</v>
      </c>
      <c r="AA68" s="537" t="str">
        <f t="shared" si="52"/>
        <v>Feb</v>
      </c>
      <c r="AB68" s="447">
        <f t="shared" si="34"/>
        <v>60</v>
      </c>
      <c r="AC68" s="496">
        <f>IF(OR(التوصية!$B$248='بيانات للادخال'!$F$2,التوصية!$B$248='بيانات للادخال'!$F$3),AD68*(1+PNAVAT),IF(التوصية!$B$248='بيانات للادخال'!$F$4,(AD68-AG68)+AG68*(1+PNAVAT)))</f>
        <v>0</v>
      </c>
      <c r="AD68" s="496">
        <f t="shared" si="8"/>
        <v>0</v>
      </c>
      <c r="AE68" s="9">
        <f t="shared" si="53"/>
        <v>0</v>
      </c>
      <c r="AF68" s="9">
        <f t="shared" si="10"/>
        <v>0</v>
      </c>
      <c r="AG68" s="9">
        <f t="shared" si="21"/>
        <v>1.2536315318546662E-13</v>
      </c>
      <c r="AH68" s="538">
        <f t="shared" si="35"/>
        <v>1.1993694236585079E-11</v>
      </c>
      <c r="AI68" s="549" t="str">
        <f t="shared" si="36"/>
        <v>normal</v>
      </c>
      <c r="AJ68" s="537" t="str">
        <f t="shared" si="37"/>
        <v>Dec</v>
      </c>
      <c r="AK68" s="447">
        <f t="shared" si="38"/>
        <v>2023</v>
      </c>
      <c r="AL68" s="447">
        <f t="shared" si="46"/>
        <v>58</v>
      </c>
      <c r="AM68" s="496">
        <f>IF(OR(التوصية!$B$248='بيانات للادخال'!$F$2,التوصية!$B$248='بيانات للادخال'!$F$3),AN68*(1+PNAVAT),IF(التوصية!$B$248='بيانات للادخال'!$F$4,(AN68-AQ68)+AQ68*(1+PNAVAT)))</f>
        <v>0</v>
      </c>
      <c r="AN68" s="496">
        <f t="shared" si="39"/>
        <v>0</v>
      </c>
      <c r="AO68" s="9">
        <f t="shared" si="57"/>
        <v>0</v>
      </c>
      <c r="AP68" s="9">
        <f t="shared" si="41"/>
        <v>0</v>
      </c>
      <c r="AQ68" s="9">
        <f t="shared" si="44"/>
        <v>1.2275615234760668E-13</v>
      </c>
      <c r="AR68" s="550">
        <f t="shared" si="45"/>
        <v>1.1744278278791206E-11</v>
      </c>
      <c r="AS68" s="501" t="str">
        <f t="shared" ref="AS68:AS86" si="58">IF(AS67=$A66,$A67,IF(AS67=$A67,$A68,IF(AS67=$A68,$A69,IF(AS67=$A69,$A70,IF(AS67=$A70,$A71,IF(AS67=$A71,$A72,IF(AS67=$A72,$A73,IF(AS67=$A73,$A74,IF(AS67=$A74,$A75,IF(AS67=$A75,$A76,IF(AS67=$A76,$A77,IF(AS67=$A77,$A78,"error"))))))))))))</f>
        <v>Jul</v>
      </c>
      <c r="AT68" s="495" t="str">
        <f t="shared" si="47"/>
        <v>normal</v>
      </c>
      <c r="AU68" s="539" t="str">
        <f t="shared" si="11"/>
        <v>Feb</v>
      </c>
      <c r="AV68" s="447">
        <f t="shared" si="12"/>
        <v>2024</v>
      </c>
      <c r="AW68" s="447" t="str">
        <f t="shared" si="22"/>
        <v>Feb 2024</v>
      </c>
      <c r="AX68" s="448">
        <f t="shared" si="42"/>
        <v>60</v>
      </c>
      <c r="AY68" s="496">
        <f>IF(OR(التوصية!$B$248='بيانات للادخال'!$F$2,التوصية!$B$248='بيانات للادخال'!$F$3),AZ68*(1+PNAVAT),IF(التوصية!$B$248='بيانات للادخال'!$F$4,(AZ68-BC68)+BC68*(1+PNAVAT)))</f>
        <v>0</v>
      </c>
      <c r="AZ68" s="496">
        <f t="shared" si="13"/>
        <v>0</v>
      </c>
      <c r="BA68" s="9">
        <f t="shared" si="54"/>
        <v>0</v>
      </c>
      <c r="BB68" s="9">
        <f t="shared" si="15"/>
        <v>0</v>
      </c>
      <c r="BC68" s="9">
        <f t="shared" si="23"/>
        <v>1.7431111627771842E-9</v>
      </c>
      <c r="BD68" s="9">
        <f t="shared" si="43"/>
        <v>-1.7431111627771842E-9</v>
      </c>
      <c r="BE68" s="9">
        <f t="shared" si="49"/>
        <v>1.5952455153368476E-7</v>
      </c>
      <c r="BF68" s="531">
        <f>IF($E$1='بيانات للادخال'!$M$2,IF(AND(OR(AX68=11+$Z$3,AX68=12+$Z$3,AX68=23+$Z$3,AX68=24+$Z$3,AX68=35+$Z$3,AX68=36+$Z$3,AX68=47+$Z$3,AX68=48+$Z$3,AX68=59+$Z$3,AX68=60+$Z$3),AX68&lt;=$G$3),$E$61/2,AY68),IF($E$1='بيانات للادخال'!$M$3,AC68))</f>
        <v>0</v>
      </c>
      <c r="BG68" s="547" t="str">
        <f t="shared" si="25"/>
        <v>Feb 2024</v>
      </c>
      <c r="BH68" s="541">
        <f t="shared" si="55"/>
        <v>0</v>
      </c>
      <c r="BI68" s="548">
        <f t="shared" si="56"/>
        <v>0</v>
      </c>
    </row>
    <row r="69" spans="1:61">
      <c r="A69" s="471" t="s">
        <v>278</v>
      </c>
      <c r="B69" s="554"/>
      <c r="G69" s="536">
        <f t="shared" si="28"/>
        <v>2024</v>
      </c>
      <c r="H69" s="537" t="str">
        <f t="shared" si="16"/>
        <v>Mar</v>
      </c>
      <c r="I69" s="447">
        <f t="shared" si="29"/>
        <v>61</v>
      </c>
      <c r="J69" s="496">
        <f>IF(OR(التوصية!$B$248='بيانات للادخال'!$F$2,التوصية!$B$248='بيانات للادخال'!$F$3),K69*(1+PNAVAT),IF(التوصية!$B$248='بيانات للادخال'!$F$4,(K69-N69)+N69*(1+PNAVAT)))</f>
        <v>0</v>
      </c>
      <c r="K69" s="496">
        <f t="shared" si="17"/>
        <v>0</v>
      </c>
      <c r="L69" s="9">
        <f t="shared" si="50"/>
        <v>0</v>
      </c>
      <c r="M69" s="9">
        <f t="shared" si="2"/>
        <v>0</v>
      </c>
      <c r="N69" s="9">
        <f t="shared" si="18"/>
        <v>1.2668734275063513E-13</v>
      </c>
      <c r="O69" s="538">
        <f t="shared" si="30"/>
        <v>1.2120381579335715E-11</v>
      </c>
      <c r="P69" s="539" t="str">
        <f t="shared" si="3"/>
        <v>Mar</v>
      </c>
      <c r="Q69" s="447">
        <f t="shared" si="4"/>
        <v>2024</v>
      </c>
      <c r="R69" s="447">
        <f t="shared" si="31"/>
        <v>61</v>
      </c>
      <c r="S69" s="496">
        <f>IF(OR(التوصية!$B$248='بيانات للادخال'!$F$2,التوصية!$B$248='بيانات للادخال'!$F$3),T69*(1+PNAVAT),IF(التوصية!$B$248='بيانات للادخال'!$F$4,(T69-W69)+W69*(1+PNAVAT)))</f>
        <v>0</v>
      </c>
      <c r="T69" s="9">
        <f t="shared" si="19"/>
        <v>0</v>
      </c>
      <c r="U69" s="9">
        <f t="shared" si="51"/>
        <v>0</v>
      </c>
      <c r="V69" s="9">
        <f t="shared" si="6"/>
        <v>0</v>
      </c>
      <c r="W69" s="9">
        <f t="shared" si="20"/>
        <v>1.2668734275063513E-13</v>
      </c>
      <c r="X69" s="9">
        <f t="shared" si="32"/>
        <v>1.2120381579335715E-11</v>
      </c>
      <c r="Y69" s="538">
        <f t="shared" si="33"/>
        <v>-1.2668734275063513E-13</v>
      </c>
      <c r="Z69" s="494">
        <f t="shared" si="52"/>
        <v>2024</v>
      </c>
      <c r="AA69" s="537" t="str">
        <f t="shared" si="52"/>
        <v>Mar</v>
      </c>
      <c r="AB69" s="447">
        <f t="shared" si="34"/>
        <v>61</v>
      </c>
      <c r="AC69" s="496">
        <f>IF(OR(التوصية!$B$248='بيانات للادخال'!$F$2,التوصية!$B$248='بيانات للادخال'!$F$3),AD69*(1+PNAVAT),IF(التوصية!$B$248='بيانات للادخال'!$F$4,(AD69-AG69)+AG69*(1+PNAVAT)))</f>
        <v>0</v>
      </c>
      <c r="AD69" s="496">
        <f t="shared" si="8"/>
        <v>0</v>
      </c>
      <c r="AE69" s="9">
        <f t="shared" si="53"/>
        <v>0</v>
      </c>
      <c r="AF69" s="9">
        <f t="shared" si="10"/>
        <v>0</v>
      </c>
      <c r="AG69" s="9">
        <f t="shared" si="21"/>
        <v>1.2668734275063513E-13</v>
      </c>
      <c r="AH69" s="538">
        <f t="shared" si="35"/>
        <v>1.2120381579335715E-11</v>
      </c>
      <c r="AI69" s="549" t="str">
        <f t="shared" si="36"/>
        <v>normal</v>
      </c>
      <c r="AJ69" s="537" t="str">
        <f t="shared" si="37"/>
        <v>Jan</v>
      </c>
      <c r="AK69" s="447">
        <f t="shared" si="38"/>
        <v>2024</v>
      </c>
      <c r="AL69" s="447">
        <f t="shared" si="46"/>
        <v>59</v>
      </c>
      <c r="AM69" s="496">
        <f>IF(OR(التوصية!$B$248='بيانات للادخال'!$F$2,التوصية!$B$248='بيانات للادخال'!$F$3),AN69*(1+PNAVAT),IF(التوصية!$B$248='بيانات للادخال'!$F$4,(AN69-AQ69)+AQ69*(1+PNAVAT)))</f>
        <v>0</v>
      </c>
      <c r="AN69" s="496">
        <f t="shared" si="39"/>
        <v>0</v>
      </c>
      <c r="AO69" s="9">
        <f t="shared" si="57"/>
        <v>0</v>
      </c>
      <c r="AP69" s="9">
        <f t="shared" si="41"/>
        <v>0</v>
      </c>
      <c r="AQ69" s="9">
        <f t="shared" si="44"/>
        <v>1.2405280460840655E-13</v>
      </c>
      <c r="AR69" s="550">
        <f t="shared" si="45"/>
        <v>1.1868331083399612E-11</v>
      </c>
      <c r="AS69" s="501" t="str">
        <f t="shared" si="58"/>
        <v>Aug</v>
      </c>
      <c r="AT69" s="495" t="str">
        <f t="shared" si="47"/>
        <v>normal</v>
      </c>
      <c r="AU69" s="539" t="str">
        <f t="shared" si="11"/>
        <v>Mar</v>
      </c>
      <c r="AV69" s="447">
        <f t="shared" si="12"/>
        <v>2024</v>
      </c>
      <c r="AW69" s="447" t="str">
        <f t="shared" si="22"/>
        <v>Mar 2024</v>
      </c>
      <c r="AX69" s="448">
        <f t="shared" si="42"/>
        <v>61</v>
      </c>
      <c r="AY69" s="496">
        <f>IF(OR(التوصية!$B$248='بيانات للادخال'!$F$2,التوصية!$B$248='بيانات للادخال'!$F$3),AZ69*(1+PNAVAT),IF(التوصية!$B$248='بيانات للادخال'!$F$4,(AZ69-BC69)+BC69*(1+PNAVAT)))</f>
        <v>0</v>
      </c>
      <c r="AZ69" s="496">
        <f t="shared" si="13"/>
        <v>0</v>
      </c>
      <c r="BA69" s="9">
        <f t="shared" si="54"/>
        <v>0</v>
      </c>
      <c r="BB69" s="9">
        <f t="shared" si="15"/>
        <v>0</v>
      </c>
      <c r="BC69" s="9">
        <f t="shared" si="23"/>
        <v>1.7623684120370193E-9</v>
      </c>
      <c r="BD69" s="9">
        <f t="shared" si="43"/>
        <v>-1.7623684120370193E-9</v>
      </c>
      <c r="BE69" s="9">
        <f t="shared" si="49"/>
        <v>1.6128691994572179E-7</v>
      </c>
      <c r="BF69" s="531">
        <f>IF($E$1='بيانات للادخال'!$M$2,IF(AND(OR(AX69=11+$Z$3,AX69=12+$Z$3,AX69=23+$Z$3,AX69=24+$Z$3,AX69=35+$Z$3,AX69=36+$Z$3,AX69=47+$Z$3,AX69=48+$Z$3,AX69=59+$Z$3,AX69=60+$Z$3),AX69&lt;=$G$3),$E$61/2,AY69),IF($E$1='بيانات للادخال'!$M$3,AC69))</f>
        <v>0</v>
      </c>
      <c r="BG69" s="547" t="str">
        <f t="shared" si="25"/>
        <v>Mar 2024</v>
      </c>
      <c r="BH69" s="541">
        <f t="shared" si="55"/>
        <v>0</v>
      </c>
      <c r="BI69" s="548">
        <f t="shared" si="56"/>
        <v>0</v>
      </c>
    </row>
    <row r="70" spans="1:61">
      <c r="A70" s="471" t="s">
        <v>279</v>
      </c>
      <c r="B70" s="554"/>
      <c r="G70" s="536">
        <f t="shared" si="28"/>
        <v>2024</v>
      </c>
      <c r="H70" s="537" t="str">
        <f t="shared" si="16"/>
        <v>Apr</v>
      </c>
      <c r="I70" s="447">
        <f t="shared" si="29"/>
        <v>62</v>
      </c>
      <c r="J70" s="496">
        <f>IF(OR(التوصية!$B$248='بيانات للادخال'!$F$2,التوصية!$B$248='بيانات للادخال'!$F$3),K70*(1+PNAVAT),IF(التوصية!$B$248='بيانات للادخال'!$F$4,(K70-N70)+N70*(1+PNAVAT)))</f>
        <v>0</v>
      </c>
      <c r="K70" s="496">
        <f t="shared" si="17"/>
        <v>0</v>
      </c>
      <c r="L70" s="9">
        <f t="shared" si="50"/>
        <v>0</v>
      </c>
      <c r="M70" s="9">
        <f t="shared" si="2"/>
        <v>0</v>
      </c>
      <c r="N70" s="9">
        <f t="shared" si="18"/>
        <v>1.2802551950390432E-13</v>
      </c>
      <c r="O70" s="538">
        <f t="shared" si="30"/>
        <v>1.2248407098839619E-11</v>
      </c>
      <c r="P70" s="539" t="str">
        <f t="shared" si="3"/>
        <v>Apr</v>
      </c>
      <c r="Q70" s="447">
        <f t="shared" si="4"/>
        <v>2024</v>
      </c>
      <c r="R70" s="447">
        <f t="shared" si="31"/>
        <v>62</v>
      </c>
      <c r="S70" s="496">
        <f>IF(OR(التوصية!$B$248='بيانات للادخال'!$F$2,التوصية!$B$248='بيانات للادخال'!$F$3),T70*(1+PNAVAT),IF(التوصية!$B$248='بيانات للادخال'!$F$4,(T70-W70)+W70*(1+PNAVAT)))</f>
        <v>0</v>
      </c>
      <c r="T70" s="9">
        <f t="shared" si="19"/>
        <v>0</v>
      </c>
      <c r="U70" s="9">
        <f t="shared" si="51"/>
        <v>0</v>
      </c>
      <c r="V70" s="9">
        <f t="shared" si="6"/>
        <v>0</v>
      </c>
      <c r="W70" s="9">
        <f t="shared" si="20"/>
        <v>1.2802551950390432E-13</v>
      </c>
      <c r="X70" s="9">
        <f t="shared" si="32"/>
        <v>1.2248407098839619E-11</v>
      </c>
      <c r="Y70" s="538">
        <f t="shared" si="33"/>
        <v>-1.2802551950390432E-13</v>
      </c>
      <c r="Z70" s="494">
        <f t="shared" si="52"/>
        <v>2024</v>
      </c>
      <c r="AA70" s="537" t="str">
        <f t="shared" si="52"/>
        <v>Apr</v>
      </c>
      <c r="AB70" s="447">
        <f t="shared" si="34"/>
        <v>62</v>
      </c>
      <c r="AC70" s="496">
        <f>IF(OR(التوصية!$B$248='بيانات للادخال'!$F$2,التوصية!$B$248='بيانات للادخال'!$F$3),AD70*(1+PNAVAT),IF(التوصية!$B$248='بيانات للادخال'!$F$4,(AD70-AG70)+AG70*(1+PNAVAT)))</f>
        <v>0</v>
      </c>
      <c r="AD70" s="496">
        <f t="shared" si="8"/>
        <v>0</v>
      </c>
      <c r="AE70" s="9">
        <f t="shared" si="53"/>
        <v>0</v>
      </c>
      <c r="AF70" s="9">
        <f t="shared" si="10"/>
        <v>0</v>
      </c>
      <c r="AG70" s="9">
        <f t="shared" si="21"/>
        <v>1.2802551950390432E-13</v>
      </c>
      <c r="AH70" s="538">
        <f t="shared" si="35"/>
        <v>1.2248407098839619E-11</v>
      </c>
      <c r="AI70" s="549" t="str">
        <f t="shared" si="36"/>
        <v>normal</v>
      </c>
      <c r="AJ70" s="537" t="str">
        <f t="shared" si="37"/>
        <v>Feb</v>
      </c>
      <c r="AK70" s="447">
        <f t="shared" si="38"/>
        <v>2024</v>
      </c>
      <c r="AL70" s="447">
        <f t="shared" si="46"/>
        <v>60</v>
      </c>
      <c r="AM70" s="496">
        <f>IF(OR(التوصية!$B$248='بيانات للادخال'!$F$2,التوصية!$B$248='بيانات للادخال'!$F$3),AN70*(1+PNAVAT),IF(التوصية!$B$248='بيانات للادخال'!$F$4,(AN70-AQ70)+AQ70*(1+PNAVAT)))</f>
        <v>0</v>
      </c>
      <c r="AN70" s="496">
        <f t="shared" si="39"/>
        <v>0</v>
      </c>
      <c r="AO70" s="9">
        <f t="shared" si="57"/>
        <v>0</v>
      </c>
      <c r="AP70" s="9">
        <f t="shared" si="41"/>
        <v>0</v>
      </c>
      <c r="AQ70" s="9">
        <f t="shared" si="44"/>
        <v>1.2536315318546662E-13</v>
      </c>
      <c r="AR70" s="550">
        <f t="shared" si="45"/>
        <v>1.1993694236585079E-11</v>
      </c>
      <c r="AS70" s="501" t="str">
        <f t="shared" si="58"/>
        <v>Sep</v>
      </c>
      <c r="AT70" s="495" t="str">
        <f t="shared" si="47"/>
        <v>normal</v>
      </c>
      <c r="AU70" s="539" t="str">
        <f t="shared" si="11"/>
        <v>Apr</v>
      </c>
      <c r="AV70" s="447">
        <f t="shared" si="12"/>
        <v>2024</v>
      </c>
      <c r="AW70" s="447" t="str">
        <f t="shared" si="22"/>
        <v>Apr 2024</v>
      </c>
      <c r="AX70" s="448">
        <f t="shared" si="42"/>
        <v>62</v>
      </c>
      <c r="AY70" s="496">
        <f>IF(OR(التوصية!$B$248='بيانات للادخال'!$F$2,التوصية!$B$248='بيانات للادخال'!$F$3),AZ70*(1+PNAVAT),IF(التوصية!$B$248='بيانات للادخال'!$F$4,(AZ70-BC70)+BC70*(1+PNAVAT)))</f>
        <v>0</v>
      </c>
      <c r="AZ70" s="496">
        <f t="shared" si="13"/>
        <v>0</v>
      </c>
      <c r="BA70" s="9">
        <f t="shared" si="54"/>
        <v>0</v>
      </c>
      <c r="BB70" s="9">
        <f t="shared" si="15"/>
        <v>0</v>
      </c>
      <c r="BC70" s="9">
        <f t="shared" si="23"/>
        <v>1.7818384082845253E-9</v>
      </c>
      <c r="BD70" s="9">
        <f t="shared" si="43"/>
        <v>-1.7818384082845253E-9</v>
      </c>
      <c r="BE70" s="9">
        <f t="shared" si="49"/>
        <v>1.6306875835400631E-7</v>
      </c>
      <c r="BF70" s="531">
        <f>IF($E$1='بيانات للادخال'!$M$2,IF(AND(OR(AX70=11+$Z$3,AX70=12+$Z$3,AX70=23+$Z$3,AX70=24+$Z$3,AX70=35+$Z$3,AX70=36+$Z$3,AX70=47+$Z$3,AX70=48+$Z$3,AX70=59+$Z$3,AX70=60+$Z$3),AX70&lt;=$G$3),$E$61/2,AY70),IF($E$1='بيانات للادخال'!$M$3,AC70))</f>
        <v>0</v>
      </c>
      <c r="BG70" s="547" t="str">
        <f t="shared" si="25"/>
        <v>Apr 2024</v>
      </c>
      <c r="BH70" s="541">
        <f t="shared" si="55"/>
        <v>0</v>
      </c>
      <c r="BI70" s="548">
        <f t="shared" si="56"/>
        <v>0</v>
      </c>
    </row>
    <row r="71" spans="1:61">
      <c r="A71" s="471" t="s">
        <v>280</v>
      </c>
      <c r="B71" s="554"/>
      <c r="G71" s="536">
        <f t="shared" si="28"/>
        <v>2024</v>
      </c>
      <c r="H71" s="537" t="str">
        <f t="shared" si="16"/>
        <v>May</v>
      </c>
      <c r="I71" s="447">
        <f t="shared" si="29"/>
        <v>63</v>
      </c>
      <c r="J71" s="496">
        <f>IF(OR(التوصية!$B$248='بيانات للادخال'!$F$2,التوصية!$B$248='بيانات للادخال'!$F$3),K71*(1+PNAVAT),IF(التوصية!$B$248='بيانات للادخال'!$F$4,(K71-N71)+N71*(1+PNAVAT)))</f>
        <v>0</v>
      </c>
      <c r="K71" s="496">
        <f t="shared" si="17"/>
        <v>0</v>
      </c>
      <c r="L71" s="9">
        <f t="shared" si="50"/>
        <v>0</v>
      </c>
      <c r="M71" s="9">
        <f t="shared" si="2"/>
        <v>0</v>
      </c>
      <c r="N71" s="9">
        <f t="shared" si="18"/>
        <v>1.2937783118955198E-13</v>
      </c>
      <c r="O71" s="538">
        <f t="shared" si="30"/>
        <v>1.2377784930029171E-11</v>
      </c>
      <c r="P71" s="539" t="str">
        <f t="shared" si="3"/>
        <v>May</v>
      </c>
      <c r="Q71" s="447">
        <f t="shared" si="4"/>
        <v>2024</v>
      </c>
      <c r="R71" s="447">
        <f t="shared" si="31"/>
        <v>63</v>
      </c>
      <c r="S71" s="496">
        <f>IF(OR(التوصية!$B$248='بيانات للادخال'!$F$2,التوصية!$B$248='بيانات للادخال'!$F$3),T71*(1+PNAVAT),IF(التوصية!$B$248='بيانات للادخال'!$F$4,(T71-W71)+W71*(1+PNAVAT)))</f>
        <v>0</v>
      </c>
      <c r="T71" s="9">
        <f t="shared" si="19"/>
        <v>0</v>
      </c>
      <c r="U71" s="9">
        <f t="shared" si="51"/>
        <v>0</v>
      </c>
      <c r="V71" s="9">
        <f t="shared" si="6"/>
        <v>0</v>
      </c>
      <c r="W71" s="9">
        <f t="shared" si="20"/>
        <v>1.2937783118955198E-13</v>
      </c>
      <c r="X71" s="9">
        <f t="shared" si="32"/>
        <v>1.2377784930029171E-11</v>
      </c>
      <c r="Y71" s="538">
        <f t="shared" si="33"/>
        <v>-1.2937783118955198E-13</v>
      </c>
      <c r="Z71" s="494">
        <f t="shared" si="52"/>
        <v>2024</v>
      </c>
      <c r="AA71" s="537" t="str">
        <f t="shared" si="52"/>
        <v>May</v>
      </c>
      <c r="AB71" s="447">
        <f t="shared" si="34"/>
        <v>63</v>
      </c>
      <c r="AC71" s="496">
        <f>IF(OR(التوصية!$B$248='بيانات للادخال'!$F$2,التوصية!$B$248='بيانات للادخال'!$F$3),AD71*(1+PNAVAT),IF(التوصية!$B$248='بيانات للادخال'!$F$4,(AD71-AG71)+AG71*(1+PNAVAT)))</f>
        <v>0</v>
      </c>
      <c r="AD71" s="496">
        <f t="shared" si="8"/>
        <v>0</v>
      </c>
      <c r="AE71" s="9">
        <f t="shared" si="53"/>
        <v>0</v>
      </c>
      <c r="AF71" s="9">
        <f t="shared" si="10"/>
        <v>0</v>
      </c>
      <c r="AG71" s="9">
        <f t="shared" si="21"/>
        <v>1.2937783118955198E-13</v>
      </c>
      <c r="AH71" s="538">
        <f t="shared" si="35"/>
        <v>1.2377784930029171E-11</v>
      </c>
      <c r="AI71" s="549" t="str">
        <f t="shared" si="36"/>
        <v>normal</v>
      </c>
      <c r="AJ71" s="537" t="str">
        <f t="shared" si="37"/>
        <v>Mar</v>
      </c>
      <c r="AK71" s="447">
        <f t="shared" si="38"/>
        <v>2024</v>
      </c>
      <c r="AL71" s="447">
        <f t="shared" si="46"/>
        <v>61</v>
      </c>
      <c r="AM71" s="496">
        <f>IF(OR(التوصية!$B$248='بيانات للادخال'!$F$2,التوصية!$B$248='بيانات للادخال'!$F$3),AN71*(1+PNAVAT),IF(التوصية!$B$248='بيانات للادخال'!$F$4,(AN71-AQ71)+AQ71*(1+PNAVAT)))</f>
        <v>0</v>
      </c>
      <c r="AN71" s="496">
        <f t="shared" si="39"/>
        <v>0</v>
      </c>
      <c r="AO71" s="9">
        <f t="shared" si="57"/>
        <v>0</v>
      </c>
      <c r="AP71" s="9">
        <f t="shared" si="41"/>
        <v>0</v>
      </c>
      <c r="AQ71" s="9">
        <f t="shared" si="44"/>
        <v>1.2668734275063513E-13</v>
      </c>
      <c r="AR71" s="550">
        <f t="shared" si="45"/>
        <v>1.2120381579335715E-11</v>
      </c>
      <c r="AS71" s="501" t="str">
        <f t="shared" si="58"/>
        <v>Oct</v>
      </c>
      <c r="AT71" s="495" t="str">
        <f t="shared" si="47"/>
        <v>normal</v>
      </c>
      <c r="AU71" s="539" t="str">
        <f t="shared" si="11"/>
        <v>May</v>
      </c>
      <c r="AV71" s="447">
        <f t="shared" si="12"/>
        <v>2024</v>
      </c>
      <c r="AW71" s="447" t="str">
        <f t="shared" si="22"/>
        <v>May 2024</v>
      </c>
      <c r="AX71" s="448">
        <f t="shared" si="42"/>
        <v>63</v>
      </c>
      <c r="AY71" s="496">
        <f>IF(OR(التوصية!$B$248='بيانات للادخال'!$F$2,التوصية!$B$248='بيانات للادخال'!$F$3),AZ71*(1+PNAVAT),IF(التوصية!$B$248='بيانات للادخال'!$F$4,(AZ71-BC71)+BC71*(1+PNAVAT)))</f>
        <v>0</v>
      </c>
      <c r="AZ71" s="496">
        <f t="shared" si="13"/>
        <v>0</v>
      </c>
      <c r="BA71" s="9">
        <f t="shared" si="54"/>
        <v>0</v>
      </c>
      <c r="BB71" s="9">
        <f t="shared" si="15"/>
        <v>0</v>
      </c>
      <c r="BC71" s="9">
        <f t="shared" si="23"/>
        <v>1.8015235018699591E-9</v>
      </c>
      <c r="BD71" s="9">
        <f t="shared" si="43"/>
        <v>-1.8015235018699591E-9</v>
      </c>
      <c r="BE71" s="9">
        <f t="shared" si="49"/>
        <v>1.6487028185587627E-7</v>
      </c>
      <c r="BF71" s="531">
        <f>IF($E$1='بيانات للادخال'!$M$2,IF(AND(OR(AX71=11+$Z$3,AX71=12+$Z$3,AX71=23+$Z$3,AX71=24+$Z$3,AX71=35+$Z$3,AX71=36+$Z$3,AX71=47+$Z$3,AX71=48+$Z$3,AX71=59+$Z$3,AX71=60+$Z$3),AX71&lt;=$G$3),$E$61/2,AY71),IF($E$1='بيانات للادخال'!$M$3,AC71))</f>
        <v>0</v>
      </c>
      <c r="BG71" s="547" t="str">
        <f t="shared" si="25"/>
        <v>May 2024</v>
      </c>
      <c r="BH71" s="541">
        <f t="shared" si="55"/>
        <v>0</v>
      </c>
      <c r="BI71" s="548">
        <f t="shared" si="56"/>
        <v>0</v>
      </c>
    </row>
    <row r="72" spans="1:61">
      <c r="A72" s="471" t="s">
        <v>281</v>
      </c>
      <c r="B72" s="554"/>
      <c r="G72" s="536">
        <f t="shared" si="28"/>
        <v>2024</v>
      </c>
      <c r="H72" s="537" t="str">
        <f t="shared" si="16"/>
        <v>Jun</v>
      </c>
      <c r="I72" s="447">
        <f t="shared" si="29"/>
        <v>64</v>
      </c>
      <c r="J72" s="496">
        <f>IF(OR(التوصية!$B$248='بيانات للادخال'!$F$2,التوصية!$B$248='بيانات للادخال'!$F$3),K72*(1+PNAVAT),IF(التوصية!$B$248='بيانات للادخال'!$F$4,(K72-N72)+N72*(1+PNAVAT)))</f>
        <v>0</v>
      </c>
      <c r="K72" s="496">
        <f t="shared" si="17"/>
        <v>0</v>
      </c>
      <c r="L72" s="9">
        <f t="shared" ref="L72:L80" si="59">IF(I72=0,-$E$59,0)</f>
        <v>0</v>
      </c>
      <c r="M72" s="9">
        <f t="shared" ref="M72:M80" si="60">K72+L72</f>
        <v>0</v>
      </c>
      <c r="N72" s="9">
        <f t="shared" si="18"/>
        <v>1.3074442711245352E-13</v>
      </c>
      <c r="O72" s="538">
        <f t="shared" si="30"/>
        <v>1.2508529357141625E-11</v>
      </c>
      <c r="P72" s="539" t="str">
        <f t="shared" ref="P72:P80" si="61">AJ74</f>
        <v>Jun</v>
      </c>
      <c r="Q72" s="447">
        <f t="shared" ref="Q72:Q80" si="62">G72</f>
        <v>2024</v>
      </c>
      <c r="R72" s="447">
        <f t="shared" si="31"/>
        <v>64</v>
      </c>
      <c r="S72" s="496">
        <f>IF(OR(التوصية!$B$248='بيانات للادخال'!$F$2,التوصية!$B$248='بيانات للادخال'!$F$3),T72*(1+PNAVAT),IF(التوصية!$B$248='بيانات للادخال'!$F$4,(T72-W72)+W72*(1+PNAVAT)))</f>
        <v>0</v>
      </c>
      <c r="T72" s="9">
        <f t="shared" si="19"/>
        <v>0</v>
      </c>
      <c r="U72" s="9">
        <f t="shared" ref="U72:U80" si="63">IF(R72=0,-$E$59,0)</f>
        <v>0</v>
      </c>
      <c r="V72" s="9">
        <f t="shared" ref="V72:V80" si="64">T72+U72</f>
        <v>0</v>
      </c>
      <c r="W72" s="9">
        <f t="shared" si="20"/>
        <v>1.3074442711245352E-13</v>
      </c>
      <c r="X72" s="9">
        <f t="shared" si="32"/>
        <v>1.2508529357141625E-11</v>
      </c>
      <c r="Y72" s="538">
        <f t="shared" si="33"/>
        <v>-1.3074442711245352E-13</v>
      </c>
      <c r="Z72" s="494">
        <f t="shared" ref="Z72:AA80" si="65">G72</f>
        <v>2024</v>
      </c>
      <c r="AA72" s="537" t="str">
        <f t="shared" si="65"/>
        <v>Jun</v>
      </c>
      <c r="AB72" s="447">
        <f t="shared" si="34"/>
        <v>64</v>
      </c>
      <c r="AC72" s="496">
        <f>IF(OR(التوصية!$B$248='بيانات للادخال'!$F$2,التوصية!$B$248='بيانات للادخال'!$F$3),AD72*(1+PNAVAT),IF(التوصية!$B$248='بيانات للادخال'!$F$4,(AD72-AG72)+AG72*(1+PNAVAT)))</f>
        <v>0</v>
      </c>
      <c r="AD72" s="496">
        <f t="shared" ref="AD72:AD80" si="66">IF(AND(AB72&gt;$Z$3,AB72&lt;=$G$3),$AF$3,0)</f>
        <v>0</v>
      </c>
      <c r="AE72" s="9">
        <f t="shared" ref="AE72:AE80" si="67">IF(AB72=0,-$E$59,0)</f>
        <v>0</v>
      </c>
      <c r="AF72" s="9">
        <f t="shared" ref="AF72:AF80" si="68">AD72+AE72</f>
        <v>0</v>
      </c>
      <c r="AG72" s="9">
        <f t="shared" si="21"/>
        <v>1.3074442711245352E-13</v>
      </c>
      <c r="AH72" s="538">
        <f t="shared" si="35"/>
        <v>1.2508529357141625E-11</v>
      </c>
      <c r="AI72" s="549" t="str">
        <f t="shared" si="36"/>
        <v>normal</v>
      </c>
      <c r="AJ72" s="537" t="str">
        <f t="shared" si="37"/>
        <v>Apr</v>
      </c>
      <c r="AK72" s="447">
        <f t="shared" si="38"/>
        <v>2024</v>
      </c>
      <c r="AL72" s="447">
        <f t="shared" si="46"/>
        <v>62</v>
      </c>
      <c r="AM72" s="496">
        <f>IF(OR(التوصية!$B$248='بيانات للادخال'!$F$2,التوصية!$B$248='بيانات للادخال'!$F$3),AN72*(1+PNAVAT),IF(التوصية!$B$248='بيانات للادخال'!$F$4,(AN72-AQ72)+AQ72*(1+PNAVAT)))</f>
        <v>0</v>
      </c>
      <c r="AN72" s="496">
        <f t="shared" si="39"/>
        <v>0</v>
      </c>
      <c r="AO72" s="9">
        <f t="shared" si="57"/>
        <v>0</v>
      </c>
      <c r="AP72" s="9">
        <f t="shared" si="41"/>
        <v>0</v>
      </c>
      <c r="AQ72" s="9">
        <f t="shared" si="44"/>
        <v>1.2802551950390432E-13</v>
      </c>
      <c r="AR72" s="550">
        <f t="shared" si="45"/>
        <v>1.2248407098839619E-11</v>
      </c>
      <c r="AS72" s="501" t="str">
        <f t="shared" si="58"/>
        <v>Nov</v>
      </c>
      <c r="AT72" s="495" t="str">
        <f t="shared" si="47"/>
        <v>normal</v>
      </c>
      <c r="AU72" s="539" t="str">
        <f t="shared" ref="AU72:AU80" si="69">H72</f>
        <v>Jun</v>
      </c>
      <c r="AV72" s="447">
        <f t="shared" ref="AV72:AV80" si="70">AK74</f>
        <v>2024</v>
      </c>
      <c r="AW72" s="447" t="str">
        <f t="shared" si="22"/>
        <v>Jun 2024</v>
      </c>
      <c r="AX72" s="448">
        <f t="shared" si="42"/>
        <v>64</v>
      </c>
      <c r="AY72" s="496">
        <f>IF(OR(التوصية!$B$248='بيانات للادخال'!$F$2,التوصية!$B$248='بيانات للادخال'!$F$3),AZ72*(1+PNAVAT),IF(التوصية!$B$248='بيانات للادخال'!$F$4,(AZ72-BC72)+BC72*(1+PNAVAT)))</f>
        <v>0</v>
      </c>
      <c r="AZ72" s="496">
        <f t="shared" ref="AZ72:AZ80" si="71">IFERROR(VLOOKUP(AW72,$BG$9:$BI$81,3,FALSE),0)</f>
        <v>0</v>
      </c>
      <c r="BA72" s="9">
        <f t="shared" ref="BA72:BA80" si="72">IF(AX72=0,-$E$59,0)</f>
        <v>0</v>
      </c>
      <c r="BB72" s="9">
        <f t="shared" ref="BB72:BB80" si="73">AZ72+BA72</f>
        <v>0</v>
      </c>
      <c r="BC72" s="9">
        <f t="shared" si="23"/>
        <v>1.8214260691093819E-9</v>
      </c>
      <c r="BD72" s="9">
        <f t="shared" si="43"/>
        <v>-1.8214260691093819E-9</v>
      </c>
      <c r="BE72" s="9">
        <f t="shared" si="49"/>
        <v>1.6669170792498564E-7</v>
      </c>
      <c r="BF72" s="531">
        <f>IF($E$1='بيانات للادخال'!$M$2,IF(AND(OR(AX72=11+$Z$3,AX72=12+$Z$3,AX72=23+$Z$3,AX72=24+$Z$3,AX72=35+$Z$3,AX72=36+$Z$3,AX72=47+$Z$3,AX72=48+$Z$3,AX72=59+$Z$3,AX72=60+$Z$3),AX72&lt;=$G$3),$E$61/2,AY72),IF($E$1='بيانات للادخال'!$M$3,AC72))</f>
        <v>0</v>
      </c>
      <c r="BG72" s="547" t="str">
        <f t="shared" si="25"/>
        <v>Jun 2024</v>
      </c>
      <c r="BH72" s="541">
        <f t="shared" si="55"/>
        <v>0</v>
      </c>
      <c r="BI72" s="548">
        <f t="shared" si="56"/>
        <v>0</v>
      </c>
    </row>
    <row r="73" spans="1:61">
      <c r="A73" s="552" t="s">
        <v>282</v>
      </c>
      <c r="B73" s="554"/>
      <c r="G73" s="536">
        <f t="shared" si="28"/>
        <v>2024</v>
      </c>
      <c r="H73" s="537" t="str">
        <f t="shared" ref="H73:H80" si="74">IF(H72=$A66,$A67,IF(H72=$A67,$A68,IF(H72=$A68,$A69,IF(H72=$A69,$A70,IF(H72=$A70,$A71,IF(H72=$A71,$A72,IF(H72=$A72,$A73,IF(H72=$A73,$A74,IF(H72=$A74,$A75,IF(H72=$A75,$A76,IF(H72=$A76,$A77,IF(H72=$A77,$A78,"error"))))))))))))</f>
        <v>Jul</v>
      </c>
      <c r="I73" s="447">
        <f t="shared" si="29"/>
        <v>65</v>
      </c>
      <c r="J73" s="496">
        <f>IF(OR(التوصية!$B$248='بيانات للادخال'!$F$2,التوصية!$B$248='بيانات للادخال'!$F$3),K73*(1+PNAVAT),IF(التوصية!$B$248='بيانات للادخال'!$F$4,(K73-N73)+N73*(1+PNAVAT)))</f>
        <v>0</v>
      </c>
      <c r="K73" s="496">
        <f t="shared" ref="K73:K80" si="75">IF(I73&lt;=$G$3,$K$3,0)</f>
        <v>0</v>
      </c>
      <c r="L73" s="9">
        <f t="shared" si="59"/>
        <v>0</v>
      </c>
      <c r="M73" s="9">
        <f t="shared" si="60"/>
        <v>0</v>
      </c>
      <c r="N73" s="9">
        <f t="shared" ref="N73:N80" si="76">O72*$H$5/12</f>
        <v>1.3212545815456611E-13</v>
      </c>
      <c r="O73" s="538">
        <f t="shared" si="30"/>
        <v>1.2640654815296191E-11</v>
      </c>
      <c r="P73" s="539" t="str">
        <f t="shared" si="61"/>
        <v>Jul</v>
      </c>
      <c r="Q73" s="447">
        <f t="shared" si="62"/>
        <v>2024</v>
      </c>
      <c r="R73" s="447">
        <f t="shared" si="31"/>
        <v>65</v>
      </c>
      <c r="S73" s="496">
        <f>IF(OR(التوصية!$B$248='بيانات للادخال'!$F$2,التوصية!$B$248='بيانات للادخال'!$F$3),T73*(1+PNAVAT),IF(التوصية!$B$248='بيانات للادخال'!$F$4,(T73-W73)+W73*(1+PNAVAT)))</f>
        <v>0</v>
      </c>
      <c r="T73" s="9">
        <f t="shared" ref="T73:T80" si="77">IF(R73&lt;=$G$3,$V$3,0)</f>
        <v>0</v>
      </c>
      <c r="U73" s="9">
        <f t="shared" si="63"/>
        <v>0</v>
      </c>
      <c r="V73" s="9">
        <f t="shared" si="64"/>
        <v>0</v>
      </c>
      <c r="W73" s="9">
        <f t="shared" ref="W73:W80" si="78">X72*$Q$5/12</f>
        <v>1.3212545815456611E-13</v>
      </c>
      <c r="X73" s="9">
        <f t="shared" si="32"/>
        <v>1.2640654815296191E-11</v>
      </c>
      <c r="Y73" s="538">
        <f t="shared" si="33"/>
        <v>-1.3212545815456611E-13</v>
      </c>
      <c r="Z73" s="494">
        <f t="shared" si="65"/>
        <v>2024</v>
      </c>
      <c r="AA73" s="537" t="str">
        <f t="shared" si="65"/>
        <v>Jul</v>
      </c>
      <c r="AB73" s="447">
        <f t="shared" si="34"/>
        <v>65</v>
      </c>
      <c r="AC73" s="496">
        <f>IF(OR(التوصية!$B$248='بيانات للادخال'!$F$2,التوصية!$B$248='بيانات للادخال'!$F$3),AD73*(1+PNAVAT),IF(التوصية!$B$248='بيانات للادخال'!$F$4,(AD73-AG73)+AG73*(1+PNAVAT)))</f>
        <v>0</v>
      </c>
      <c r="AD73" s="496">
        <f t="shared" si="66"/>
        <v>0</v>
      </c>
      <c r="AE73" s="9">
        <f t="shared" si="67"/>
        <v>0</v>
      </c>
      <c r="AF73" s="9">
        <f t="shared" si="68"/>
        <v>0</v>
      </c>
      <c r="AG73" s="9">
        <f t="shared" ref="AG73:AG80" si="79">AH72*$AA$5/12</f>
        <v>1.3212545815456611E-13</v>
      </c>
      <c r="AH73" s="538">
        <f t="shared" si="35"/>
        <v>1.2640654815296191E-11</v>
      </c>
      <c r="AI73" s="549" t="str">
        <f t="shared" si="36"/>
        <v>normal</v>
      </c>
      <c r="AJ73" s="537" t="str">
        <f t="shared" si="37"/>
        <v>May</v>
      </c>
      <c r="AK73" s="447">
        <f t="shared" si="38"/>
        <v>2024</v>
      </c>
      <c r="AL73" s="447">
        <f t="shared" si="46"/>
        <v>63</v>
      </c>
      <c r="AM73" s="496">
        <f>IF(OR(التوصية!$B$248='بيانات للادخال'!$F$2,التوصية!$B$248='بيانات للادخال'!$F$3),AN73*(1+PNAVAT),IF(التوصية!$B$248='بيانات للادخال'!$F$4,(AN73-AQ73)+AQ73*(1+PNAVAT)))</f>
        <v>0</v>
      </c>
      <c r="AN73" s="496">
        <f t="shared" si="39"/>
        <v>0</v>
      </c>
      <c r="AO73" s="9">
        <f t="shared" si="57"/>
        <v>0</v>
      </c>
      <c r="AP73" s="9">
        <f t="shared" si="41"/>
        <v>0</v>
      </c>
      <c r="AQ73" s="9">
        <f t="shared" si="44"/>
        <v>1.2937783118955198E-13</v>
      </c>
      <c r="AR73" s="550">
        <f t="shared" si="45"/>
        <v>1.2377784930029171E-11</v>
      </c>
      <c r="AS73" s="501" t="str">
        <f t="shared" si="58"/>
        <v>Dec</v>
      </c>
      <c r="AT73" s="495" t="str">
        <f t="shared" si="47"/>
        <v>normal</v>
      </c>
      <c r="AU73" s="539" t="str">
        <f t="shared" si="69"/>
        <v>Jul</v>
      </c>
      <c r="AV73" s="447">
        <f t="shared" si="70"/>
        <v>2024</v>
      </c>
      <c r="AW73" s="447" t="str">
        <f t="shared" ref="AW73:AW80" si="80">AU73&amp;" "&amp;AV73</f>
        <v>Jul 2024</v>
      </c>
      <c r="AX73" s="448">
        <f t="shared" si="42"/>
        <v>65</v>
      </c>
      <c r="AY73" s="496">
        <f>IF(OR(التوصية!$B$248='بيانات للادخال'!$F$2,التوصية!$B$248='بيانات للادخال'!$F$3),AZ73*(1+PNAVAT),IF(التوصية!$B$248='بيانات للادخال'!$F$4,(AZ73-BC73)+BC73*(1+PNAVAT)))</f>
        <v>0</v>
      </c>
      <c r="AZ73" s="496">
        <f t="shared" si="71"/>
        <v>0</v>
      </c>
      <c r="BA73" s="9">
        <f t="shared" si="72"/>
        <v>0</v>
      </c>
      <c r="BB73" s="9">
        <f t="shared" si="73"/>
        <v>0</v>
      </c>
      <c r="BC73" s="9">
        <f t="shared" ref="BC73:BC80" si="81">BE72*$AV$5/12</f>
        <v>1.8415485125715177E-9</v>
      </c>
      <c r="BD73" s="9">
        <f t="shared" si="43"/>
        <v>-1.8415485125715177E-9</v>
      </c>
      <c r="BE73" s="9">
        <f t="shared" si="49"/>
        <v>1.6853325643755715E-7</v>
      </c>
      <c r="BF73" s="531">
        <f>IF($E$1='بيانات للادخال'!$M$2,IF(AND(OR(AX73=11+$Z$3,AX73=12+$Z$3,AX73=23+$Z$3,AX73=24+$Z$3,AX73=35+$Z$3,AX73=36+$Z$3,AX73=47+$Z$3,AX73=48+$Z$3,AX73=59+$Z$3,AX73=60+$Z$3),AX73&lt;=$G$3),$E$61/2,AY73),IF($E$1='بيانات للادخال'!$M$3,AC73))</f>
        <v>0</v>
      </c>
      <c r="BG73" s="547" t="str">
        <f t="shared" ref="BG73:BG80" si="82">AW73</f>
        <v>Jul 2024</v>
      </c>
      <c r="BH73" s="541">
        <f t="shared" ref="BH73:BH80" si="83">IF(OR(AX73&lt;=$Z$3,AX73=11+$Z$3,AX73=12+$Z$3,AX73=23+$Z$3,AX73=24+$Z$3,AX73=35+$Z$3,AX73=36+$Z$3,AX73=47+$Z$3,AX73=48+$Z$3,AX73=59+$Z$3,AX73=60+$Z$3),0,IF(AX73&lt;=$G$3,$BA$3*(1+PNAVAT),0))</f>
        <v>0</v>
      </c>
      <c r="BI73" s="548">
        <f t="shared" ref="BI73:BI80" si="84">BH73/(1+PNAVAT)</f>
        <v>0</v>
      </c>
    </row>
    <row r="74" spans="1:61">
      <c r="A74" s="451" t="s">
        <v>271</v>
      </c>
      <c r="B74" s="554"/>
      <c r="G74" s="536">
        <f t="shared" ref="G74:G80" si="85">IF(H74&lt;&gt;"jan",G73,G73+1)</f>
        <v>2024</v>
      </c>
      <c r="H74" s="537" t="str">
        <f t="shared" si="74"/>
        <v>Aug</v>
      </c>
      <c r="I74" s="447">
        <f t="shared" ref="I74:I80" si="86">I73+1</f>
        <v>66</v>
      </c>
      <c r="J74" s="496">
        <f>IF(OR(التوصية!$B$248='بيانات للادخال'!$F$2,التوصية!$B$248='بيانات للادخال'!$F$3),K74*(1+PNAVAT),IF(التوصية!$B$248='بيانات للادخال'!$F$4,(K74-N74)+N74*(1+PNAVAT)))</f>
        <v>0</v>
      </c>
      <c r="K74" s="496">
        <f t="shared" si="75"/>
        <v>0</v>
      </c>
      <c r="L74" s="9">
        <f t="shared" si="59"/>
        <v>0</v>
      </c>
      <c r="M74" s="9">
        <f t="shared" si="60"/>
        <v>0</v>
      </c>
      <c r="N74" s="9">
        <f t="shared" si="76"/>
        <v>1.3352107679158734E-13</v>
      </c>
      <c r="O74" s="538">
        <f t="shared" ref="O74:O80" si="87">O73-(M74-N74)</f>
        <v>1.2774175892087778E-11</v>
      </c>
      <c r="P74" s="539" t="str">
        <f t="shared" si="61"/>
        <v>Aug</v>
      </c>
      <c r="Q74" s="447">
        <f t="shared" si="62"/>
        <v>2024</v>
      </c>
      <c r="R74" s="447">
        <f t="shared" ref="R74:R80" si="88">R73+1</f>
        <v>66</v>
      </c>
      <c r="S74" s="496">
        <f>IF(OR(التوصية!$B$248='بيانات للادخال'!$F$2,التوصية!$B$248='بيانات للادخال'!$F$3),T74*(1+PNAVAT),IF(التوصية!$B$248='بيانات للادخال'!$F$4,(T74-W74)+W74*(1+PNAVAT)))</f>
        <v>0</v>
      </c>
      <c r="T74" s="9">
        <f t="shared" si="77"/>
        <v>0</v>
      </c>
      <c r="U74" s="9">
        <f t="shared" si="63"/>
        <v>0</v>
      </c>
      <c r="V74" s="9">
        <f t="shared" si="64"/>
        <v>0</v>
      </c>
      <c r="W74" s="9">
        <f t="shared" si="78"/>
        <v>1.3352107679158734E-13</v>
      </c>
      <c r="X74" s="9">
        <f t="shared" ref="X74:X80" si="89">X73-(V74-W74)</f>
        <v>1.2774175892087778E-11</v>
      </c>
      <c r="Y74" s="538">
        <f t="shared" ref="Y74:Y80" si="90">T74-W74</f>
        <v>-1.3352107679158734E-13</v>
      </c>
      <c r="Z74" s="494">
        <f t="shared" si="65"/>
        <v>2024</v>
      </c>
      <c r="AA74" s="537" t="str">
        <f t="shared" si="65"/>
        <v>Aug</v>
      </c>
      <c r="AB74" s="447">
        <f t="shared" ref="AB74:AB80" si="91">AB73+1</f>
        <v>66</v>
      </c>
      <c r="AC74" s="496">
        <f>IF(OR(التوصية!$B$248='بيانات للادخال'!$F$2,التوصية!$B$248='بيانات للادخال'!$F$3),AD74*(1+PNAVAT),IF(التوصية!$B$248='بيانات للادخال'!$F$4,(AD74-AG74)+AG74*(1+PNAVAT)))</f>
        <v>0</v>
      </c>
      <c r="AD74" s="496">
        <f t="shared" si="66"/>
        <v>0</v>
      </c>
      <c r="AE74" s="9">
        <f t="shared" si="67"/>
        <v>0</v>
      </c>
      <c r="AF74" s="9">
        <f t="shared" si="68"/>
        <v>0</v>
      </c>
      <c r="AG74" s="9">
        <f t="shared" si="79"/>
        <v>1.3352107679158734E-13</v>
      </c>
      <c r="AH74" s="538">
        <f t="shared" ref="AH74:AH80" si="92">AH73-(AF74-AG74)</f>
        <v>1.2774175892087778E-11</v>
      </c>
      <c r="AI74" s="549" t="str">
        <f t="shared" ref="AI74:AI78" si="93">IF(AJ74=AS79,AT79,"Normal")</f>
        <v>normal</v>
      </c>
      <c r="AJ74" s="537" t="str">
        <f t="shared" ref="AJ74:AJ82" si="94">AA72</f>
        <v>Jun</v>
      </c>
      <c r="AK74" s="447">
        <f t="shared" ref="AK74:AK82" si="95">Z72</f>
        <v>2024</v>
      </c>
      <c r="AL74" s="447">
        <f t="shared" si="46"/>
        <v>64</v>
      </c>
      <c r="AM74" s="496">
        <f>IF(OR(التوصية!$B$248='بيانات للادخال'!$F$2,التوصية!$B$248='بيانات للادخال'!$F$3),AN74*(1+PNAVAT),IF(التوصية!$B$248='بيانات للادخال'!$F$4,(AN74-AQ74)+AQ74*(1+PNAVAT)))</f>
        <v>0</v>
      </c>
      <c r="AN74" s="496">
        <f t="shared" ref="AN74:AN82" si="96">IF(AND(AL74&gt;$Z$3,AL74&lt;=$G$3,AI74="Dull"),$AJ$4,IF((AND(AL74&gt;$Z$3,AL74&lt;=$G$3,AI74="High")),$AJ$3,IF(AND(AL74&gt;$Z$3,AL74&lt;=$G$3,AI74="Normal"),$AJ$5,0)))</f>
        <v>0</v>
      </c>
      <c r="AO74" s="9">
        <f t="shared" ref="AO74:AO82" si="97">IF(AL74=0,-$E$59,0)</f>
        <v>0</v>
      </c>
      <c r="AP74" s="9">
        <f t="shared" ref="AP74:AP82" si="98">AN74+AO74</f>
        <v>0</v>
      </c>
      <c r="AQ74" s="9">
        <f t="shared" si="44"/>
        <v>1.3074442711245352E-13</v>
      </c>
      <c r="AR74" s="550">
        <f t="shared" si="45"/>
        <v>1.2508529357141625E-11</v>
      </c>
      <c r="AS74" s="501" t="str">
        <f t="shared" si="58"/>
        <v>Jan</v>
      </c>
      <c r="AT74" s="495" t="str">
        <f t="shared" si="47"/>
        <v>normal</v>
      </c>
      <c r="AU74" s="539" t="str">
        <f t="shared" si="69"/>
        <v>Aug</v>
      </c>
      <c r="AV74" s="447">
        <f t="shared" si="70"/>
        <v>2024</v>
      </c>
      <c r="AW74" s="447" t="str">
        <f t="shared" si="80"/>
        <v>Aug 2024</v>
      </c>
      <c r="AX74" s="448">
        <f t="shared" ref="AX74:AX80" si="99">AX73+1</f>
        <v>66</v>
      </c>
      <c r="AY74" s="496">
        <f>IF(OR(التوصية!$B$248='بيانات للادخال'!$F$2,التوصية!$B$248='بيانات للادخال'!$F$3),AZ74*(1+PNAVAT),IF(التوصية!$B$248='بيانات للادخال'!$F$4,(AZ74-BC74)+BC74*(1+PNAVAT)))</f>
        <v>0</v>
      </c>
      <c r="AZ74" s="496">
        <f t="shared" si="71"/>
        <v>0</v>
      </c>
      <c r="BA74" s="9">
        <f t="shared" si="72"/>
        <v>0</v>
      </c>
      <c r="BB74" s="9">
        <f t="shared" si="73"/>
        <v>0</v>
      </c>
      <c r="BC74" s="9">
        <f t="shared" si="81"/>
        <v>1.8618932613677836E-9</v>
      </c>
      <c r="BD74" s="9">
        <f t="shared" ref="BD74:BD80" si="100">AZ74-BC74</f>
        <v>-1.8618932613677836E-9</v>
      </c>
      <c r="BE74" s="9">
        <f t="shared" si="49"/>
        <v>1.7039514969892494E-7</v>
      </c>
      <c r="BF74" s="531">
        <f>IF($E$1='بيانات للادخال'!$M$2,IF(AND(OR(AX74=11+$Z$3,AX74=12+$Z$3,AX74=23+$Z$3,AX74=24+$Z$3,AX74=35+$Z$3,AX74=36+$Z$3,AX74=47+$Z$3,AX74=48+$Z$3,AX74=59+$Z$3,AX74=60+$Z$3),AX74&lt;=$G$3),$E$61/2,AY74),IF($E$1='بيانات للادخال'!$M$3,AC74))</f>
        <v>0</v>
      </c>
      <c r="BG74" s="547" t="str">
        <f t="shared" si="82"/>
        <v>Aug 2024</v>
      </c>
      <c r="BH74" s="541">
        <f t="shared" si="83"/>
        <v>0</v>
      </c>
      <c r="BI74" s="548">
        <f t="shared" si="84"/>
        <v>0</v>
      </c>
    </row>
    <row r="75" spans="1:61">
      <c r="A75" s="471" t="s">
        <v>272</v>
      </c>
      <c r="B75" s="554"/>
      <c r="G75" s="536">
        <f t="shared" si="85"/>
        <v>2024</v>
      </c>
      <c r="H75" s="537" t="str">
        <f t="shared" si="74"/>
        <v>Sep</v>
      </c>
      <c r="I75" s="447">
        <f t="shared" si="86"/>
        <v>67</v>
      </c>
      <c r="J75" s="496">
        <f>IF(OR(التوصية!$B$248='بيانات للادخال'!$F$2,التوصية!$B$248='بيانات للادخال'!$F$3),K75*(1+PNAVAT),IF(التوصية!$B$248='بيانات للادخال'!$F$4,(K75-N75)+N75*(1+PNAVAT)))</f>
        <v>0</v>
      </c>
      <c r="K75" s="496">
        <f t="shared" si="75"/>
        <v>0</v>
      </c>
      <c r="L75" s="9">
        <f t="shared" si="59"/>
        <v>0</v>
      </c>
      <c r="M75" s="9">
        <f t="shared" si="60"/>
        <v>0</v>
      </c>
      <c r="N75" s="9">
        <f t="shared" si="76"/>
        <v>1.3493143710978952E-13</v>
      </c>
      <c r="O75" s="538">
        <f t="shared" si="87"/>
        <v>1.2909107329197568E-11</v>
      </c>
      <c r="P75" s="539" t="str">
        <f t="shared" si="61"/>
        <v>Sep</v>
      </c>
      <c r="Q75" s="447">
        <f t="shared" si="62"/>
        <v>2024</v>
      </c>
      <c r="R75" s="447">
        <f t="shared" si="88"/>
        <v>67</v>
      </c>
      <c r="S75" s="496">
        <f>IF(OR(التوصية!$B$248='بيانات للادخال'!$F$2,التوصية!$B$248='بيانات للادخال'!$F$3),T75*(1+PNAVAT),IF(التوصية!$B$248='بيانات للادخال'!$F$4,(T75-W75)+W75*(1+PNAVAT)))</f>
        <v>0</v>
      </c>
      <c r="T75" s="9">
        <f t="shared" si="77"/>
        <v>0</v>
      </c>
      <c r="U75" s="9">
        <f t="shared" si="63"/>
        <v>0</v>
      </c>
      <c r="V75" s="9">
        <f t="shared" si="64"/>
        <v>0</v>
      </c>
      <c r="W75" s="9">
        <f t="shared" si="78"/>
        <v>1.3493143710978952E-13</v>
      </c>
      <c r="X75" s="9">
        <f t="shared" si="89"/>
        <v>1.2909107329197568E-11</v>
      </c>
      <c r="Y75" s="538">
        <f t="shared" si="90"/>
        <v>-1.3493143710978952E-13</v>
      </c>
      <c r="Z75" s="494">
        <f t="shared" si="65"/>
        <v>2024</v>
      </c>
      <c r="AA75" s="537" t="str">
        <f t="shared" si="65"/>
        <v>Sep</v>
      </c>
      <c r="AB75" s="447">
        <f t="shared" si="91"/>
        <v>67</v>
      </c>
      <c r="AC75" s="496">
        <f>IF(OR(التوصية!$B$248='بيانات للادخال'!$F$2,التوصية!$B$248='بيانات للادخال'!$F$3),AD75*(1+PNAVAT),IF(التوصية!$B$248='بيانات للادخال'!$F$4,(AD75-AG75)+AG75*(1+PNAVAT)))</f>
        <v>0</v>
      </c>
      <c r="AD75" s="496">
        <f t="shared" si="66"/>
        <v>0</v>
      </c>
      <c r="AE75" s="9">
        <f t="shared" si="67"/>
        <v>0</v>
      </c>
      <c r="AF75" s="9">
        <f t="shared" si="68"/>
        <v>0</v>
      </c>
      <c r="AG75" s="9">
        <f t="shared" si="79"/>
        <v>1.3493143710978952E-13</v>
      </c>
      <c r="AH75" s="538">
        <f t="shared" si="92"/>
        <v>1.2909107329197568E-11</v>
      </c>
      <c r="AI75" s="549" t="str">
        <f t="shared" si="93"/>
        <v>normal</v>
      </c>
      <c r="AJ75" s="537" t="str">
        <f t="shared" si="94"/>
        <v>Jul</v>
      </c>
      <c r="AK75" s="447">
        <f t="shared" si="95"/>
        <v>2024</v>
      </c>
      <c r="AL75" s="447">
        <f t="shared" si="46"/>
        <v>65</v>
      </c>
      <c r="AM75" s="496">
        <f>IF(OR(التوصية!$B$248='بيانات للادخال'!$F$2,التوصية!$B$248='بيانات للادخال'!$F$3),AN75*(1+PNAVAT),IF(التوصية!$B$248='بيانات للادخال'!$F$4,(AN75-AQ75)+AQ75*(1+PNAVAT)))</f>
        <v>0</v>
      </c>
      <c r="AN75" s="496">
        <f t="shared" si="96"/>
        <v>0</v>
      </c>
      <c r="AO75" s="9">
        <f t="shared" si="97"/>
        <v>0</v>
      </c>
      <c r="AP75" s="9">
        <f t="shared" si="98"/>
        <v>0</v>
      </c>
      <c r="AQ75" s="9">
        <f t="shared" ref="AQ75:AQ82" si="101">AR74*$AJ$7/12</f>
        <v>1.3212545815456611E-13</v>
      </c>
      <c r="AR75" s="550">
        <f t="shared" ref="AR75:AR82" si="102">AR74-(AP75-AQ75)</f>
        <v>1.2640654815296191E-11</v>
      </c>
      <c r="AS75" s="501" t="str">
        <f t="shared" si="58"/>
        <v>Feb</v>
      </c>
      <c r="AT75" s="495" t="str">
        <f t="shared" si="47"/>
        <v>normal</v>
      </c>
      <c r="AU75" s="539" t="str">
        <f t="shared" si="69"/>
        <v>Sep</v>
      </c>
      <c r="AV75" s="447">
        <f t="shared" si="70"/>
        <v>2024</v>
      </c>
      <c r="AW75" s="447" t="str">
        <f t="shared" si="80"/>
        <v>Sep 2024</v>
      </c>
      <c r="AX75" s="448">
        <f t="shared" si="99"/>
        <v>67</v>
      </c>
      <c r="AY75" s="496">
        <f>IF(OR(التوصية!$B$248='بيانات للادخال'!$F$2,التوصية!$B$248='بيانات للادخال'!$F$3),AZ75*(1+PNAVAT),IF(التوصية!$B$248='بيانات للادخال'!$F$4,(AZ75-BC75)+BC75*(1+PNAVAT)))</f>
        <v>0</v>
      </c>
      <c r="AZ75" s="496">
        <f t="shared" si="71"/>
        <v>0</v>
      </c>
      <c r="BA75" s="9">
        <f t="shared" si="72"/>
        <v>0</v>
      </c>
      <c r="BB75" s="9">
        <f t="shared" si="73"/>
        <v>0</v>
      </c>
      <c r="BC75" s="9">
        <f t="shared" si="81"/>
        <v>1.882462771445524E-9</v>
      </c>
      <c r="BD75" s="9">
        <f t="shared" si="100"/>
        <v>-1.882462771445524E-9</v>
      </c>
      <c r="BE75" s="9">
        <f t="shared" si="49"/>
        <v>1.7227761247037047E-7</v>
      </c>
      <c r="BF75" s="531">
        <f>IF($E$1='بيانات للادخال'!$M$2,IF(AND(OR(AX75=11+$Z$3,AX75=12+$Z$3,AX75=23+$Z$3,AX75=24+$Z$3,AX75=35+$Z$3,AX75=36+$Z$3,AX75=47+$Z$3,AX75=48+$Z$3,AX75=59+$Z$3,AX75=60+$Z$3),AX75&lt;=$G$3),$E$61/2,AY75),IF($E$1='بيانات للادخال'!$M$3,AC75))</f>
        <v>0</v>
      </c>
      <c r="BG75" s="547" t="str">
        <f t="shared" si="82"/>
        <v>Sep 2024</v>
      </c>
      <c r="BH75" s="541">
        <f t="shared" si="83"/>
        <v>0</v>
      </c>
      <c r="BI75" s="548">
        <f t="shared" si="84"/>
        <v>0</v>
      </c>
    </row>
    <row r="76" spans="1:61">
      <c r="A76" s="471" t="s">
        <v>273</v>
      </c>
      <c r="B76" s="554"/>
      <c r="G76" s="536">
        <f t="shared" si="85"/>
        <v>2024</v>
      </c>
      <c r="H76" s="537" t="str">
        <f t="shared" si="74"/>
        <v>Oct</v>
      </c>
      <c r="I76" s="447">
        <f t="shared" si="86"/>
        <v>68</v>
      </c>
      <c r="J76" s="496">
        <f>IF(OR(التوصية!$B$248='بيانات للادخال'!$F$2,التوصية!$B$248='بيانات للادخال'!$F$3),K76*(1+PNAVAT),IF(التوصية!$B$248='بيانات للادخال'!$F$4,(K76-N76)+N76*(1+PNAVAT)))</f>
        <v>0</v>
      </c>
      <c r="K76" s="496">
        <f t="shared" si="75"/>
        <v>0</v>
      </c>
      <c r="L76" s="9">
        <f t="shared" si="59"/>
        <v>0</v>
      </c>
      <c r="M76" s="9">
        <f t="shared" si="60"/>
        <v>0</v>
      </c>
      <c r="N76" s="9">
        <f t="shared" si="76"/>
        <v>1.363566948230319E-13</v>
      </c>
      <c r="O76" s="538">
        <f t="shared" si="87"/>
        <v>1.30454640240206E-11</v>
      </c>
      <c r="P76" s="539" t="str">
        <f t="shared" si="61"/>
        <v>Oct</v>
      </c>
      <c r="Q76" s="447">
        <f t="shared" si="62"/>
        <v>2024</v>
      </c>
      <c r="R76" s="447">
        <f t="shared" si="88"/>
        <v>68</v>
      </c>
      <c r="S76" s="496">
        <f>IF(OR(التوصية!$B$248='بيانات للادخال'!$F$2,التوصية!$B$248='بيانات للادخال'!$F$3),T76*(1+PNAVAT),IF(التوصية!$B$248='بيانات للادخال'!$F$4,(T76-W76)+W76*(1+PNAVAT)))</f>
        <v>0</v>
      </c>
      <c r="T76" s="9">
        <f t="shared" si="77"/>
        <v>0</v>
      </c>
      <c r="U76" s="9">
        <f t="shared" si="63"/>
        <v>0</v>
      </c>
      <c r="V76" s="9">
        <f t="shared" si="64"/>
        <v>0</v>
      </c>
      <c r="W76" s="9">
        <f t="shared" si="78"/>
        <v>1.363566948230319E-13</v>
      </c>
      <c r="X76" s="9">
        <f t="shared" si="89"/>
        <v>1.30454640240206E-11</v>
      </c>
      <c r="Y76" s="538">
        <f t="shared" si="90"/>
        <v>-1.363566948230319E-13</v>
      </c>
      <c r="Z76" s="494">
        <f t="shared" si="65"/>
        <v>2024</v>
      </c>
      <c r="AA76" s="537" t="str">
        <f t="shared" si="65"/>
        <v>Oct</v>
      </c>
      <c r="AB76" s="447">
        <f t="shared" si="91"/>
        <v>68</v>
      </c>
      <c r="AC76" s="496">
        <f>IF(OR(التوصية!$B$248='بيانات للادخال'!$F$2,التوصية!$B$248='بيانات للادخال'!$F$3),AD76*(1+PNAVAT),IF(التوصية!$B$248='بيانات للادخال'!$F$4,(AD76-AG76)+AG76*(1+PNAVAT)))</f>
        <v>0</v>
      </c>
      <c r="AD76" s="496">
        <f t="shared" si="66"/>
        <v>0</v>
      </c>
      <c r="AE76" s="9">
        <f t="shared" si="67"/>
        <v>0</v>
      </c>
      <c r="AF76" s="9">
        <f t="shared" si="68"/>
        <v>0</v>
      </c>
      <c r="AG76" s="9">
        <f t="shared" si="79"/>
        <v>1.363566948230319E-13</v>
      </c>
      <c r="AH76" s="538">
        <f t="shared" si="92"/>
        <v>1.30454640240206E-11</v>
      </c>
      <c r="AI76" s="549" t="str">
        <f t="shared" si="93"/>
        <v>normal</v>
      </c>
      <c r="AJ76" s="537" t="str">
        <f t="shared" si="94"/>
        <v>Aug</v>
      </c>
      <c r="AK76" s="447">
        <f t="shared" si="95"/>
        <v>2024</v>
      </c>
      <c r="AL76" s="447">
        <f t="shared" ref="AL76:AL82" si="103">AL75+1</f>
        <v>66</v>
      </c>
      <c r="AM76" s="496">
        <f>IF(OR(التوصية!$B$248='بيانات للادخال'!$F$2,التوصية!$B$248='بيانات للادخال'!$F$3),AN76*(1+PNAVAT),IF(التوصية!$B$248='بيانات للادخال'!$F$4,(AN76-AQ76)+AQ76*(1+PNAVAT)))</f>
        <v>0</v>
      </c>
      <c r="AN76" s="496">
        <f t="shared" si="96"/>
        <v>0</v>
      </c>
      <c r="AO76" s="9">
        <f t="shared" si="97"/>
        <v>0</v>
      </c>
      <c r="AP76" s="9">
        <f t="shared" si="98"/>
        <v>0</v>
      </c>
      <c r="AQ76" s="9">
        <f t="shared" si="101"/>
        <v>1.3352107679158734E-13</v>
      </c>
      <c r="AR76" s="550">
        <f t="shared" si="102"/>
        <v>1.2774175892087778E-11</v>
      </c>
      <c r="AS76" s="501" t="str">
        <f t="shared" si="58"/>
        <v>Mar</v>
      </c>
      <c r="AT76" s="495" t="str">
        <f t="shared" si="47"/>
        <v>normal</v>
      </c>
      <c r="AU76" s="539" t="str">
        <f t="shared" si="69"/>
        <v>Oct</v>
      </c>
      <c r="AV76" s="447">
        <f t="shared" si="70"/>
        <v>2024</v>
      </c>
      <c r="AW76" s="447" t="str">
        <f t="shared" si="80"/>
        <v>Oct 2024</v>
      </c>
      <c r="AX76" s="448">
        <f t="shared" si="99"/>
        <v>68</v>
      </c>
      <c r="AY76" s="496">
        <f>IF(OR(التوصية!$B$248='بيانات للادخال'!$F$2,التوصية!$B$248='بيانات للادخال'!$F$3),AZ76*(1+PNAVAT),IF(التوصية!$B$248='بيانات للادخال'!$F$4,(AZ76-BC76)+BC76*(1+PNAVAT)))</f>
        <v>0</v>
      </c>
      <c r="AZ76" s="496">
        <f t="shared" si="71"/>
        <v>0</v>
      </c>
      <c r="BA76" s="9">
        <f t="shared" si="72"/>
        <v>0</v>
      </c>
      <c r="BB76" s="9">
        <f t="shared" si="73"/>
        <v>0</v>
      </c>
      <c r="BC76" s="9">
        <f t="shared" si="81"/>
        <v>1.9032595258844841E-9</v>
      </c>
      <c r="BD76" s="9">
        <f t="shared" si="100"/>
        <v>-1.9032595258844841E-9</v>
      </c>
      <c r="BE76" s="9">
        <f t="shared" si="49"/>
        <v>1.7418087199625495E-7</v>
      </c>
      <c r="BF76" s="531">
        <f>IF($E$1='بيانات للادخال'!$M$2,IF(AND(OR(AX76=11+$Z$3,AX76=12+$Z$3,AX76=23+$Z$3,AX76=24+$Z$3,AX76=35+$Z$3,AX76=36+$Z$3,AX76=47+$Z$3,AX76=48+$Z$3,AX76=59+$Z$3,AX76=60+$Z$3),AX76&lt;=$G$3),$E$61/2,AY76),IF($E$1='بيانات للادخال'!$M$3,AC76))</f>
        <v>0</v>
      </c>
      <c r="BG76" s="547" t="str">
        <f t="shared" si="82"/>
        <v>Oct 2024</v>
      </c>
      <c r="BH76" s="541">
        <f t="shared" si="83"/>
        <v>0</v>
      </c>
      <c r="BI76" s="548">
        <f t="shared" si="84"/>
        <v>0</v>
      </c>
    </row>
    <row r="77" spans="1:61">
      <c r="A77" s="471" t="s">
        <v>274</v>
      </c>
      <c r="B77" s="554"/>
      <c r="G77" s="536">
        <f t="shared" si="85"/>
        <v>2024</v>
      </c>
      <c r="H77" s="537" t="str">
        <f t="shared" si="74"/>
        <v>Nov</v>
      </c>
      <c r="I77" s="447">
        <f t="shared" si="86"/>
        <v>69</v>
      </c>
      <c r="J77" s="496">
        <f>IF(OR(التوصية!$B$248='بيانات للادخال'!$F$2,التوصية!$B$248='بيانات للادخال'!$F$3),K77*(1+PNAVAT),IF(التوصية!$B$248='بيانات للادخال'!$F$4,(K77-N77)+N77*(1+PNAVAT)))</f>
        <v>0</v>
      </c>
      <c r="K77" s="496">
        <f t="shared" si="75"/>
        <v>0</v>
      </c>
      <c r="L77" s="9">
        <f t="shared" si="59"/>
        <v>0</v>
      </c>
      <c r="M77" s="9">
        <f t="shared" si="60"/>
        <v>0</v>
      </c>
      <c r="N77" s="9">
        <f t="shared" si="76"/>
        <v>1.3779700728995267E-13</v>
      </c>
      <c r="O77" s="538">
        <f t="shared" si="87"/>
        <v>1.3183261031310552E-11</v>
      </c>
      <c r="P77" s="539" t="str">
        <f t="shared" si="61"/>
        <v>Nov</v>
      </c>
      <c r="Q77" s="447">
        <f t="shared" si="62"/>
        <v>2024</v>
      </c>
      <c r="R77" s="447">
        <f t="shared" si="88"/>
        <v>69</v>
      </c>
      <c r="S77" s="496">
        <f>IF(OR(التوصية!$B$248='بيانات للادخال'!$F$2,التوصية!$B$248='بيانات للادخال'!$F$3),T77*(1+PNAVAT),IF(التوصية!$B$248='بيانات للادخال'!$F$4,(T77-W77)+W77*(1+PNAVAT)))</f>
        <v>0</v>
      </c>
      <c r="T77" s="9">
        <f t="shared" si="77"/>
        <v>0</v>
      </c>
      <c r="U77" s="9">
        <f t="shared" si="63"/>
        <v>0</v>
      </c>
      <c r="V77" s="9">
        <f t="shared" si="64"/>
        <v>0</v>
      </c>
      <c r="W77" s="9">
        <f t="shared" si="78"/>
        <v>1.3779700728995267E-13</v>
      </c>
      <c r="X77" s="9">
        <f t="shared" si="89"/>
        <v>1.3183261031310552E-11</v>
      </c>
      <c r="Y77" s="538">
        <f t="shared" si="90"/>
        <v>-1.3779700728995267E-13</v>
      </c>
      <c r="Z77" s="494">
        <f t="shared" si="65"/>
        <v>2024</v>
      </c>
      <c r="AA77" s="537" t="str">
        <f t="shared" si="65"/>
        <v>Nov</v>
      </c>
      <c r="AB77" s="447">
        <f t="shared" si="91"/>
        <v>69</v>
      </c>
      <c r="AC77" s="496">
        <f>IF(OR(التوصية!$B$248='بيانات للادخال'!$F$2,التوصية!$B$248='بيانات للادخال'!$F$3),AD77*(1+PNAVAT),IF(التوصية!$B$248='بيانات للادخال'!$F$4,(AD77-AG77)+AG77*(1+PNAVAT)))</f>
        <v>0</v>
      </c>
      <c r="AD77" s="496">
        <f t="shared" si="66"/>
        <v>0</v>
      </c>
      <c r="AE77" s="9">
        <f t="shared" si="67"/>
        <v>0</v>
      </c>
      <c r="AF77" s="9">
        <f t="shared" si="68"/>
        <v>0</v>
      </c>
      <c r="AG77" s="9">
        <f t="shared" si="79"/>
        <v>1.3779700728995267E-13</v>
      </c>
      <c r="AH77" s="538">
        <f t="shared" si="92"/>
        <v>1.3183261031310552E-11</v>
      </c>
      <c r="AI77" s="549" t="str">
        <f t="shared" si="93"/>
        <v>normal</v>
      </c>
      <c r="AJ77" s="537" t="str">
        <f t="shared" si="94"/>
        <v>Sep</v>
      </c>
      <c r="AK77" s="447">
        <f t="shared" si="95"/>
        <v>2024</v>
      </c>
      <c r="AL77" s="447">
        <f t="shared" si="103"/>
        <v>67</v>
      </c>
      <c r="AM77" s="496">
        <f>IF(OR(التوصية!$B$248='بيانات للادخال'!$F$2,التوصية!$B$248='بيانات للادخال'!$F$3),AN77*(1+PNAVAT),IF(التوصية!$B$248='بيانات للادخال'!$F$4,(AN77-AQ77)+AQ77*(1+PNAVAT)))</f>
        <v>0</v>
      </c>
      <c r="AN77" s="496">
        <f t="shared" si="96"/>
        <v>0</v>
      </c>
      <c r="AO77" s="9">
        <f t="shared" si="97"/>
        <v>0</v>
      </c>
      <c r="AP77" s="9">
        <f t="shared" si="98"/>
        <v>0</v>
      </c>
      <c r="AQ77" s="9">
        <f t="shared" si="101"/>
        <v>1.3493143710978952E-13</v>
      </c>
      <c r="AR77" s="550">
        <f t="shared" si="102"/>
        <v>1.2909107329197568E-11</v>
      </c>
      <c r="AS77" s="501" t="str">
        <f t="shared" si="58"/>
        <v>Apr</v>
      </c>
      <c r="AT77" s="495" t="str">
        <f t="shared" si="47"/>
        <v>normal</v>
      </c>
      <c r="AU77" s="539" t="str">
        <f t="shared" si="69"/>
        <v>Nov</v>
      </c>
      <c r="AV77" s="447">
        <f t="shared" si="70"/>
        <v>2024</v>
      </c>
      <c r="AW77" s="447" t="str">
        <f t="shared" si="80"/>
        <v>Nov 2024</v>
      </c>
      <c r="AX77" s="448">
        <f t="shared" si="99"/>
        <v>69</v>
      </c>
      <c r="AY77" s="496">
        <f>IF(OR(التوصية!$B$248='بيانات للادخال'!$F$2,التوصية!$B$248='بيانات للادخال'!$F$3),AZ77*(1+PNAVAT),IF(التوصية!$B$248='بيانات للادخال'!$F$4,(AZ77-BC77)+BC77*(1+PNAVAT)))</f>
        <v>0</v>
      </c>
      <c r="AZ77" s="496">
        <f t="shared" si="71"/>
        <v>0</v>
      </c>
      <c r="BA77" s="9">
        <f t="shared" si="72"/>
        <v>0</v>
      </c>
      <c r="BB77" s="9">
        <f t="shared" si="73"/>
        <v>0</v>
      </c>
      <c r="BC77" s="9">
        <f t="shared" si="81"/>
        <v>1.9242860351965576E-9</v>
      </c>
      <c r="BD77" s="9">
        <f t="shared" si="100"/>
        <v>-1.9242860351965576E-9</v>
      </c>
      <c r="BE77" s="9">
        <f t="shared" si="49"/>
        <v>1.7610515803145152E-7</v>
      </c>
      <c r="BF77" s="531">
        <f>IF($E$1='بيانات للادخال'!$M$2,IF(AND(OR(AX77=11+$Z$3,AX77=12+$Z$3,AX77=23+$Z$3,AX77=24+$Z$3,AX77=35+$Z$3,AX77=36+$Z$3,AX77=47+$Z$3,AX77=48+$Z$3,AX77=59+$Z$3,AX77=60+$Z$3),AX77&lt;=$G$3),$E$61/2,AY77),IF($E$1='بيانات للادخال'!$M$3,AC77))</f>
        <v>0</v>
      </c>
      <c r="BG77" s="547" t="str">
        <f t="shared" si="82"/>
        <v>Nov 2024</v>
      </c>
      <c r="BH77" s="541">
        <f t="shared" si="83"/>
        <v>0</v>
      </c>
      <c r="BI77" s="548">
        <f t="shared" si="84"/>
        <v>0</v>
      </c>
    </row>
    <row r="78" spans="1:61">
      <c r="A78" s="471" t="s">
        <v>275</v>
      </c>
      <c r="B78" s="554"/>
      <c r="G78" s="536">
        <f t="shared" si="85"/>
        <v>2024</v>
      </c>
      <c r="H78" s="537" t="str">
        <f t="shared" si="74"/>
        <v>Dec</v>
      </c>
      <c r="I78" s="447">
        <f t="shared" si="86"/>
        <v>70</v>
      </c>
      <c r="J78" s="496">
        <f>IF(OR(التوصية!$B$248='بيانات للادخال'!$F$2,التوصية!$B$248='بيانات للادخال'!$F$3),K78*(1+PNAVAT),IF(التوصية!$B$248='بيانات للادخال'!$F$4,(K78-N78)+N78*(1+PNAVAT)))</f>
        <v>0</v>
      </c>
      <c r="K78" s="496">
        <f t="shared" si="75"/>
        <v>0</v>
      </c>
      <c r="L78" s="9">
        <f t="shared" si="59"/>
        <v>0</v>
      </c>
      <c r="M78" s="9">
        <f t="shared" si="60"/>
        <v>0</v>
      </c>
      <c r="N78" s="9">
        <f t="shared" si="76"/>
        <v>1.3925253353134238E-13</v>
      </c>
      <c r="O78" s="538">
        <f t="shared" si="87"/>
        <v>1.3322513564841894E-11</v>
      </c>
      <c r="P78" s="539" t="str">
        <f t="shared" si="61"/>
        <v>Dec</v>
      </c>
      <c r="Q78" s="447">
        <f t="shared" si="62"/>
        <v>2024</v>
      </c>
      <c r="R78" s="447">
        <f t="shared" si="88"/>
        <v>70</v>
      </c>
      <c r="S78" s="496">
        <f>IF(OR(التوصية!$B$248='بيانات للادخال'!$F$2,التوصية!$B$248='بيانات للادخال'!$F$3),T78*(1+PNAVAT),IF(التوصية!$B$248='بيانات للادخال'!$F$4,(T78-W78)+W78*(1+PNAVAT)))</f>
        <v>0</v>
      </c>
      <c r="T78" s="9">
        <f t="shared" si="77"/>
        <v>0</v>
      </c>
      <c r="U78" s="9">
        <f t="shared" si="63"/>
        <v>0</v>
      </c>
      <c r="V78" s="9">
        <f t="shared" si="64"/>
        <v>0</v>
      </c>
      <c r="W78" s="9">
        <f t="shared" si="78"/>
        <v>1.3925253353134238E-13</v>
      </c>
      <c r="X78" s="9">
        <f t="shared" si="89"/>
        <v>1.3322513564841894E-11</v>
      </c>
      <c r="Y78" s="538">
        <f t="shared" si="90"/>
        <v>-1.3925253353134238E-13</v>
      </c>
      <c r="Z78" s="494">
        <f t="shared" si="65"/>
        <v>2024</v>
      </c>
      <c r="AA78" s="537" t="str">
        <f t="shared" si="65"/>
        <v>Dec</v>
      </c>
      <c r="AB78" s="447">
        <f t="shared" si="91"/>
        <v>70</v>
      </c>
      <c r="AC78" s="496">
        <f>IF(OR(التوصية!$B$248='بيانات للادخال'!$F$2,التوصية!$B$248='بيانات للادخال'!$F$3),AD78*(1+PNAVAT),IF(التوصية!$B$248='بيانات للادخال'!$F$4,(AD78-AG78)+AG78*(1+PNAVAT)))</f>
        <v>0</v>
      </c>
      <c r="AD78" s="496">
        <f t="shared" si="66"/>
        <v>0</v>
      </c>
      <c r="AE78" s="9">
        <f t="shared" si="67"/>
        <v>0</v>
      </c>
      <c r="AF78" s="9">
        <f t="shared" si="68"/>
        <v>0</v>
      </c>
      <c r="AG78" s="9">
        <f t="shared" si="79"/>
        <v>1.3925253353134238E-13</v>
      </c>
      <c r="AH78" s="538">
        <f t="shared" si="92"/>
        <v>1.3322513564841894E-11</v>
      </c>
      <c r="AI78" s="549" t="str">
        <f t="shared" si="93"/>
        <v>normal</v>
      </c>
      <c r="AJ78" s="537" t="str">
        <f t="shared" si="94"/>
        <v>Oct</v>
      </c>
      <c r="AK78" s="447">
        <f t="shared" si="95"/>
        <v>2024</v>
      </c>
      <c r="AL78" s="447">
        <f t="shared" si="103"/>
        <v>68</v>
      </c>
      <c r="AM78" s="496">
        <f>IF(OR(التوصية!$B$248='بيانات للادخال'!$F$2,التوصية!$B$248='بيانات للادخال'!$F$3),AN78*(1+PNAVAT),IF(التوصية!$B$248='بيانات للادخال'!$F$4,(AN78-AQ78)+AQ78*(1+PNAVAT)))</f>
        <v>0</v>
      </c>
      <c r="AN78" s="496">
        <f t="shared" si="96"/>
        <v>0</v>
      </c>
      <c r="AO78" s="9">
        <f t="shared" si="97"/>
        <v>0</v>
      </c>
      <c r="AP78" s="9">
        <f t="shared" si="98"/>
        <v>0</v>
      </c>
      <c r="AQ78" s="9">
        <f t="shared" si="101"/>
        <v>1.363566948230319E-13</v>
      </c>
      <c r="AR78" s="550">
        <f t="shared" si="102"/>
        <v>1.30454640240206E-11</v>
      </c>
      <c r="AS78" s="501" t="str">
        <f t="shared" si="58"/>
        <v>May</v>
      </c>
      <c r="AT78" s="495" t="str">
        <f t="shared" si="47"/>
        <v>normal</v>
      </c>
      <c r="AU78" s="539" t="str">
        <f t="shared" si="69"/>
        <v>Dec</v>
      </c>
      <c r="AV78" s="447">
        <f t="shared" si="70"/>
        <v>2024</v>
      </c>
      <c r="AW78" s="447" t="str">
        <f t="shared" si="80"/>
        <v>Dec 2024</v>
      </c>
      <c r="AX78" s="448">
        <f t="shared" si="99"/>
        <v>70</v>
      </c>
      <c r="AY78" s="496">
        <f>IF(OR(التوصية!$B$248='بيانات للادخال'!$F$2,التوصية!$B$248='بيانات للادخال'!$F$3),AZ78*(1+PNAVAT),IF(التوصية!$B$248='بيانات للادخال'!$F$4,(AZ78-BC78)+BC78*(1+PNAVAT)))</f>
        <v>0</v>
      </c>
      <c r="AZ78" s="496">
        <f t="shared" si="71"/>
        <v>0</v>
      </c>
      <c r="BA78" s="9">
        <f t="shared" si="72"/>
        <v>0</v>
      </c>
      <c r="BB78" s="9">
        <f t="shared" si="73"/>
        <v>0</v>
      </c>
      <c r="BC78" s="9">
        <f t="shared" si="81"/>
        <v>1.9455448376288482E-9</v>
      </c>
      <c r="BD78" s="9">
        <f t="shared" si="100"/>
        <v>-1.9455448376288482E-9</v>
      </c>
      <c r="BE78" s="9">
        <f t="shared" si="49"/>
        <v>1.7805070286908036E-7</v>
      </c>
      <c r="BF78" s="531">
        <f>IF($E$1='بيانات للادخال'!$M$2,IF(AND(OR(AX78=11+$Z$3,AX78=12+$Z$3,AX78=23+$Z$3,AX78=24+$Z$3,AX78=35+$Z$3,AX78=36+$Z$3,AX78=47+$Z$3,AX78=48+$Z$3,AX78=59+$Z$3,AX78=60+$Z$3),AX78&lt;=$G$3),$E$61/2,AY78),IF($E$1='بيانات للادخال'!$M$3,AC78))</f>
        <v>0</v>
      </c>
      <c r="BG78" s="547" t="str">
        <f t="shared" si="82"/>
        <v>Dec 2024</v>
      </c>
      <c r="BH78" s="541">
        <f t="shared" si="83"/>
        <v>0</v>
      </c>
      <c r="BI78" s="548">
        <f t="shared" si="84"/>
        <v>0</v>
      </c>
    </row>
    <row r="79" spans="1:61">
      <c r="A79" s="471" t="s">
        <v>276</v>
      </c>
      <c r="B79" s="554"/>
      <c r="G79" s="536">
        <f t="shared" si="85"/>
        <v>2025</v>
      </c>
      <c r="H79" s="537" t="str">
        <f t="shared" si="74"/>
        <v>Jan</v>
      </c>
      <c r="I79" s="447">
        <f t="shared" si="86"/>
        <v>71</v>
      </c>
      <c r="J79" s="496">
        <f>IF(OR(التوصية!$B$248='بيانات للادخال'!$F$2,التوصية!$B$248='بيانات للادخال'!$F$3),K79*(1+PNAVAT),IF(التوصية!$B$248='بيانات للادخال'!$F$4,(K79-N79)+N79*(1+PNAVAT)))</f>
        <v>0</v>
      </c>
      <c r="K79" s="496">
        <f t="shared" si="75"/>
        <v>0</v>
      </c>
      <c r="L79" s="9">
        <f t="shared" si="59"/>
        <v>0</v>
      </c>
      <c r="M79" s="9">
        <f t="shared" si="60"/>
        <v>0</v>
      </c>
      <c r="N79" s="9">
        <f t="shared" si="76"/>
        <v>1.4072343424770099E-13</v>
      </c>
      <c r="O79" s="538">
        <f t="shared" si="87"/>
        <v>1.3463236999089595E-11</v>
      </c>
      <c r="P79" s="539" t="str">
        <f t="shared" si="61"/>
        <v>Jan</v>
      </c>
      <c r="Q79" s="447">
        <f t="shared" si="62"/>
        <v>2025</v>
      </c>
      <c r="R79" s="447">
        <f t="shared" si="88"/>
        <v>71</v>
      </c>
      <c r="S79" s="496">
        <f>IF(OR(التوصية!$B$248='بيانات للادخال'!$F$2,التوصية!$B$248='بيانات للادخال'!$F$3),T79*(1+PNAVAT),IF(التوصية!$B$248='بيانات للادخال'!$F$4,(T79-W79)+W79*(1+PNAVAT)))</f>
        <v>0</v>
      </c>
      <c r="T79" s="9">
        <f t="shared" si="77"/>
        <v>0</v>
      </c>
      <c r="U79" s="9">
        <f t="shared" si="63"/>
        <v>0</v>
      </c>
      <c r="V79" s="9">
        <f t="shared" si="64"/>
        <v>0</v>
      </c>
      <c r="W79" s="9">
        <f t="shared" si="78"/>
        <v>1.4072343424770099E-13</v>
      </c>
      <c r="X79" s="9">
        <f t="shared" si="89"/>
        <v>1.3463236999089595E-11</v>
      </c>
      <c r="Y79" s="538">
        <f t="shared" si="90"/>
        <v>-1.4072343424770099E-13</v>
      </c>
      <c r="Z79" s="494">
        <f t="shared" si="65"/>
        <v>2025</v>
      </c>
      <c r="AA79" s="537" t="str">
        <f t="shared" si="65"/>
        <v>Jan</v>
      </c>
      <c r="AB79" s="447">
        <f t="shared" si="91"/>
        <v>71</v>
      </c>
      <c r="AC79" s="496">
        <f>IF(OR(التوصية!$B$248='بيانات للادخال'!$F$2,التوصية!$B$248='بيانات للادخال'!$F$3),AD79*(1+PNAVAT),IF(التوصية!$B$248='بيانات للادخال'!$F$4,(AD79-AG79)+AG79*(1+PNAVAT)))</f>
        <v>0</v>
      </c>
      <c r="AD79" s="496">
        <f t="shared" si="66"/>
        <v>0</v>
      </c>
      <c r="AE79" s="9">
        <f t="shared" si="67"/>
        <v>0</v>
      </c>
      <c r="AF79" s="9">
        <f t="shared" si="68"/>
        <v>0</v>
      </c>
      <c r="AG79" s="9">
        <f t="shared" si="79"/>
        <v>1.4072343424770099E-13</v>
      </c>
      <c r="AH79" s="538">
        <f t="shared" si="92"/>
        <v>1.3463236999089595E-11</v>
      </c>
      <c r="AI79" s="549" t="str">
        <f>IF(AJ79=AS84,AT84,"Normal")</f>
        <v>normal</v>
      </c>
      <c r="AJ79" s="537" t="str">
        <f t="shared" si="94"/>
        <v>Nov</v>
      </c>
      <c r="AK79" s="447">
        <f t="shared" si="95"/>
        <v>2024</v>
      </c>
      <c r="AL79" s="447">
        <f t="shared" si="103"/>
        <v>69</v>
      </c>
      <c r="AM79" s="496">
        <f>IF(OR(التوصية!$B$248='بيانات للادخال'!$F$2,التوصية!$B$248='بيانات للادخال'!$F$3),AN79*(1+PNAVAT),IF(التوصية!$B$248='بيانات للادخال'!$F$4,(AN79-AQ79)+AQ79*(1+PNAVAT)))</f>
        <v>0</v>
      </c>
      <c r="AN79" s="496">
        <f t="shared" si="96"/>
        <v>0</v>
      </c>
      <c r="AO79" s="9">
        <f t="shared" si="97"/>
        <v>0</v>
      </c>
      <c r="AP79" s="9">
        <f t="shared" si="98"/>
        <v>0</v>
      </c>
      <c r="AQ79" s="9">
        <f t="shared" si="101"/>
        <v>1.3779700728995267E-13</v>
      </c>
      <c r="AR79" s="550">
        <f t="shared" si="102"/>
        <v>1.3183261031310552E-11</v>
      </c>
      <c r="AS79" s="501" t="str">
        <f t="shared" si="58"/>
        <v>Jun</v>
      </c>
      <c r="AT79" s="495" t="str">
        <f t="shared" ref="AT79:AT86" si="104">IF(AS79=AS67,AT67,"")</f>
        <v>normal</v>
      </c>
      <c r="AU79" s="539" t="str">
        <f t="shared" si="69"/>
        <v>Jan</v>
      </c>
      <c r="AV79" s="447">
        <f t="shared" si="70"/>
        <v>2025</v>
      </c>
      <c r="AW79" s="447" t="str">
        <f t="shared" si="80"/>
        <v>Jan 2025</v>
      </c>
      <c r="AX79" s="448">
        <f t="shared" si="99"/>
        <v>71</v>
      </c>
      <c r="AY79" s="496">
        <f>IF(OR(التوصية!$B$248='بيانات للادخال'!$F$2,التوصية!$B$248='بيانات للادخال'!$F$3),AZ79*(1+PNAVAT),IF(التوصية!$B$248='بيانات للادخال'!$F$4,(AZ79-BC79)+BC79*(1+PNAVAT)))</f>
        <v>0</v>
      </c>
      <c r="AZ79" s="496">
        <f t="shared" si="71"/>
        <v>0</v>
      </c>
      <c r="BA79" s="9">
        <f t="shared" si="72"/>
        <v>0</v>
      </c>
      <c r="BB79" s="9">
        <f t="shared" si="73"/>
        <v>0</v>
      </c>
      <c r="BC79" s="9">
        <f t="shared" si="81"/>
        <v>1.9670384994700773E-9</v>
      </c>
      <c r="BD79" s="9">
        <f t="shared" si="100"/>
        <v>-1.9670384994700773E-9</v>
      </c>
      <c r="BE79" s="9">
        <f t="shared" si="49"/>
        <v>1.8001774136855045E-7</v>
      </c>
      <c r="BF79" s="531">
        <f>IF($E$1='بيانات للادخال'!$M$2,IF(AND(OR(AX79=11+$Z$3,AX79=12+$Z$3,AX79=23+$Z$3,AX79=24+$Z$3,AX79=35+$Z$3,AX79=36+$Z$3,AX79=47+$Z$3,AX79=48+$Z$3,AX79=59+$Z$3,AX79=60+$Z$3),AX79&lt;=$G$3),$E$61/2,AY79),IF($E$1='بيانات للادخال'!$M$3,AC79))</f>
        <v>0</v>
      </c>
      <c r="BG79" s="547" t="str">
        <f t="shared" si="82"/>
        <v>Jan 2025</v>
      </c>
      <c r="BH79" s="541">
        <f t="shared" si="83"/>
        <v>0</v>
      </c>
      <c r="BI79" s="548">
        <f t="shared" si="84"/>
        <v>0</v>
      </c>
    </row>
    <row r="80" spans="1:61">
      <c r="A80" s="471" t="s">
        <v>277</v>
      </c>
      <c r="B80" s="554"/>
      <c r="G80" s="536">
        <f t="shared" si="85"/>
        <v>2025</v>
      </c>
      <c r="H80" s="537" t="str">
        <f t="shared" si="74"/>
        <v>Feb</v>
      </c>
      <c r="I80" s="447">
        <f t="shared" si="86"/>
        <v>72</v>
      </c>
      <c r="J80" s="496">
        <f>IF(OR(التوصية!$B$248='بيانات للادخال'!$F$2,التوصية!$B$248='بيانات للادخال'!$F$3),K80*(1+PNAVAT),IF(التوصية!$B$248='بيانات للادخال'!$F$4,(K80-N80)+N80*(1+PNAVAT)))</f>
        <v>0</v>
      </c>
      <c r="K80" s="496">
        <f t="shared" si="75"/>
        <v>0</v>
      </c>
      <c r="L80" s="9">
        <f t="shared" si="59"/>
        <v>0</v>
      </c>
      <c r="M80" s="9">
        <f t="shared" si="60"/>
        <v>0</v>
      </c>
      <c r="N80" s="9">
        <f t="shared" si="76"/>
        <v>1.422098718369805E-13</v>
      </c>
      <c r="O80" s="538">
        <f t="shared" si="87"/>
        <v>1.3605446870926575E-11</v>
      </c>
      <c r="P80" s="539" t="str">
        <f t="shared" si="61"/>
        <v>Feb</v>
      </c>
      <c r="Q80" s="447">
        <f t="shared" si="62"/>
        <v>2025</v>
      </c>
      <c r="R80" s="447">
        <f t="shared" si="88"/>
        <v>72</v>
      </c>
      <c r="S80" s="496">
        <f>IF(OR(التوصية!$B$248='بيانات للادخال'!$F$2,التوصية!$B$248='بيانات للادخال'!$F$3),T80*(1+PNAVAT),IF(التوصية!$B$248='بيانات للادخال'!$F$4,(T80-W80)+W80*(1+PNAVAT)))</f>
        <v>0</v>
      </c>
      <c r="T80" s="9">
        <f t="shared" si="77"/>
        <v>0</v>
      </c>
      <c r="U80" s="9">
        <f t="shared" si="63"/>
        <v>0</v>
      </c>
      <c r="V80" s="9">
        <f t="shared" si="64"/>
        <v>0</v>
      </c>
      <c r="W80" s="9">
        <f t="shared" si="78"/>
        <v>1.422098718369805E-13</v>
      </c>
      <c r="X80" s="9">
        <f t="shared" si="89"/>
        <v>1.3605446870926575E-11</v>
      </c>
      <c r="Y80" s="538">
        <f t="shared" si="90"/>
        <v>-1.422098718369805E-13</v>
      </c>
      <c r="Z80" s="494">
        <f t="shared" si="65"/>
        <v>2025</v>
      </c>
      <c r="AA80" s="537" t="str">
        <f t="shared" si="65"/>
        <v>Feb</v>
      </c>
      <c r="AB80" s="447">
        <f t="shared" si="91"/>
        <v>72</v>
      </c>
      <c r="AC80" s="496">
        <f>IF(OR(التوصية!$B$248='بيانات للادخال'!$F$2,التوصية!$B$248='بيانات للادخال'!$F$3),AD80*(1+PNAVAT),IF(التوصية!$B$248='بيانات للادخال'!$F$4,(AD80-AG80)+AG80*(1+PNAVAT)))</f>
        <v>0</v>
      </c>
      <c r="AD80" s="496">
        <f t="shared" si="66"/>
        <v>0</v>
      </c>
      <c r="AE80" s="9">
        <f t="shared" si="67"/>
        <v>0</v>
      </c>
      <c r="AF80" s="9">
        <f t="shared" si="68"/>
        <v>0</v>
      </c>
      <c r="AG80" s="9">
        <f t="shared" si="79"/>
        <v>1.422098718369805E-13</v>
      </c>
      <c r="AH80" s="538">
        <f t="shared" si="92"/>
        <v>1.3605446870926575E-11</v>
      </c>
      <c r="AI80" s="549" t="str">
        <f>IF(AJ80=AS85,AT85,"Normal")</f>
        <v>normal</v>
      </c>
      <c r="AJ80" s="537" t="str">
        <f t="shared" si="94"/>
        <v>Dec</v>
      </c>
      <c r="AK80" s="447">
        <f t="shared" si="95"/>
        <v>2024</v>
      </c>
      <c r="AL80" s="447">
        <f t="shared" si="103"/>
        <v>70</v>
      </c>
      <c r="AM80" s="496">
        <f>IF(OR(التوصية!$B$248='بيانات للادخال'!$F$2,التوصية!$B$248='بيانات للادخال'!$F$3),AN80*(1+PNAVAT),IF(التوصية!$B$248='بيانات للادخال'!$F$4,(AN80-AQ80)+AQ80*(1+PNAVAT)))</f>
        <v>0</v>
      </c>
      <c r="AN80" s="496">
        <f t="shared" si="96"/>
        <v>0</v>
      </c>
      <c r="AO80" s="9">
        <f t="shared" si="97"/>
        <v>0</v>
      </c>
      <c r="AP80" s="9">
        <f t="shared" si="98"/>
        <v>0</v>
      </c>
      <c r="AQ80" s="9">
        <f t="shared" si="101"/>
        <v>1.3925253353134238E-13</v>
      </c>
      <c r="AR80" s="550">
        <f t="shared" si="102"/>
        <v>1.3322513564841894E-11</v>
      </c>
      <c r="AS80" s="501" t="str">
        <f t="shared" si="58"/>
        <v>Jul</v>
      </c>
      <c r="AT80" s="495" t="str">
        <f t="shared" si="104"/>
        <v>normal</v>
      </c>
      <c r="AU80" s="556" t="str">
        <f t="shared" si="69"/>
        <v>Feb</v>
      </c>
      <c r="AV80" s="512">
        <f t="shared" si="70"/>
        <v>2025</v>
      </c>
      <c r="AW80" s="512" t="str">
        <f t="shared" si="80"/>
        <v>Feb 2025</v>
      </c>
      <c r="AX80" s="448">
        <f t="shared" si="99"/>
        <v>72</v>
      </c>
      <c r="AY80" s="496">
        <f>IF(OR(التوصية!$B$248='بيانات للادخال'!$F$2,التوصية!$B$248='بيانات للادخال'!$F$3),AZ80*(1+PNAVAT),IF(التوصية!$B$248='بيانات للادخال'!$F$4,(AZ80-BC80)+BC80*(1+PNAVAT)))</f>
        <v>0</v>
      </c>
      <c r="AZ80" s="557">
        <f t="shared" si="71"/>
        <v>0</v>
      </c>
      <c r="BA80" s="9">
        <f t="shared" si="72"/>
        <v>0</v>
      </c>
      <c r="BB80" s="9">
        <f t="shared" si="73"/>
        <v>0</v>
      </c>
      <c r="BC80" s="9">
        <f t="shared" si="81"/>
        <v>1.9887696153603786E-9</v>
      </c>
      <c r="BD80" s="9">
        <f t="shared" si="100"/>
        <v>-1.9887696153603786E-9</v>
      </c>
      <c r="BE80" s="9">
        <f t="shared" si="49"/>
        <v>1.8200651098391082E-7</v>
      </c>
      <c r="BF80" s="531">
        <f>IF($E$1='بيانات للادخال'!$M$2,IF(AND(OR(AX80=11+$Z$3,AX80=12+$Z$3,AX80=23+$Z$3,AX80=24+$Z$3,AX80=35+$Z$3,AX80=36+$Z$3,AX80=47+$Z$3,AX80=48+$Z$3,AX80=59+$Z$3,AX80=60+$Z$3),AX80&lt;=$G$3),$E$61/2,AY80),IF($E$1='بيانات للادخال'!$M$3,AC80))</f>
        <v>0</v>
      </c>
      <c r="BG80" s="547" t="str">
        <f t="shared" si="82"/>
        <v>Feb 2025</v>
      </c>
      <c r="BH80" s="541">
        <f t="shared" si="83"/>
        <v>0</v>
      </c>
      <c r="BI80" s="548">
        <f t="shared" si="84"/>
        <v>0</v>
      </c>
    </row>
    <row r="81" spans="1:65" ht="13.5" thickBot="1">
      <c r="A81" s="471" t="s">
        <v>278</v>
      </c>
      <c r="B81" s="554"/>
      <c r="G81" s="1398" t="s">
        <v>5</v>
      </c>
      <c r="H81" s="1399"/>
      <c r="I81" s="1399"/>
      <c r="J81" s="558">
        <f>SUM(J8:J80)</f>
        <v>9569.4041212121156</v>
      </c>
      <c r="K81" s="558">
        <f>SUM(K8:K80)</f>
        <v>8249.4863113897609</v>
      </c>
      <c r="L81" s="558">
        <f>SUM(L8:L80)</f>
        <v>-6444.9111807732506</v>
      </c>
      <c r="M81" s="558">
        <f>SUM(M8:M80)</f>
        <v>1804.5751306165087</v>
      </c>
      <c r="N81" s="558">
        <f>SUM(N8:N80)</f>
        <v>1804.575130616525</v>
      </c>
      <c r="O81" s="559"/>
      <c r="P81" s="1398" t="s">
        <v>5</v>
      </c>
      <c r="Q81" s="1399"/>
      <c r="R81" s="1399"/>
      <c r="S81" s="558">
        <f>SUM(S8:S80)</f>
        <v>9569.4041212121156</v>
      </c>
      <c r="T81" s="558">
        <f>SUM(T8:T80)</f>
        <v>8249.4863113897609</v>
      </c>
      <c r="U81" s="558">
        <f>SUM(U8:U80)</f>
        <v>-6444.9111807732506</v>
      </c>
      <c r="V81" s="558">
        <f>SUM(V8:V80)</f>
        <v>1804.5751306165087</v>
      </c>
      <c r="W81" s="558">
        <f>SUM(W8:W80)</f>
        <v>1804.575130616525</v>
      </c>
      <c r="X81" s="560"/>
      <c r="Y81" s="559"/>
      <c r="Z81" s="1398" t="s">
        <v>5</v>
      </c>
      <c r="AA81" s="1399"/>
      <c r="AB81" s="1399"/>
      <c r="AC81" s="558">
        <f>SUM(AC8:AC80)</f>
        <v>9569.4041212121156</v>
      </c>
      <c r="AD81" s="558">
        <f>SUM(AD8:AD80)</f>
        <v>8249.4863113897609</v>
      </c>
      <c r="AE81" s="558">
        <f>SUM(AE8:AE80)</f>
        <v>-6444.9111807732506</v>
      </c>
      <c r="AF81" s="558">
        <f>SUM(AF8:AF80)</f>
        <v>1804.5751306165087</v>
      </c>
      <c r="AG81" s="558">
        <f>SUM(AG8:AG80)</f>
        <v>1804.575130616525</v>
      </c>
      <c r="AH81" s="559"/>
      <c r="AI81" s="549" t="str">
        <f>IF(AJ81=AS86,AT86,"Normal")</f>
        <v>normal</v>
      </c>
      <c r="AJ81" s="537" t="str">
        <f t="shared" si="94"/>
        <v>Jan</v>
      </c>
      <c r="AK81" s="447">
        <f t="shared" si="95"/>
        <v>2025</v>
      </c>
      <c r="AL81" s="447">
        <f t="shared" si="103"/>
        <v>71</v>
      </c>
      <c r="AM81" s="496">
        <f>IF(OR(التوصية!$B$248='بيانات للادخال'!$F$2,التوصية!$B$248='بيانات للادخال'!$F$3),AN81*(1+PNAVAT),IF(التوصية!$B$248='بيانات للادخال'!$F$4,(AN81-AQ81)+AQ81*(1+PNAVAT)))</f>
        <v>0</v>
      </c>
      <c r="AN81" s="496">
        <f t="shared" si="96"/>
        <v>0</v>
      </c>
      <c r="AO81" s="9">
        <f t="shared" si="97"/>
        <v>0</v>
      </c>
      <c r="AP81" s="9">
        <f t="shared" si="98"/>
        <v>0</v>
      </c>
      <c r="AQ81" s="9">
        <f t="shared" si="101"/>
        <v>1.4072343424770099E-13</v>
      </c>
      <c r="AR81" s="550">
        <f t="shared" si="102"/>
        <v>1.3463236999089595E-11</v>
      </c>
      <c r="AS81" s="501" t="str">
        <f t="shared" si="58"/>
        <v>Aug</v>
      </c>
      <c r="AT81" s="495" t="str">
        <f t="shared" si="104"/>
        <v>normal</v>
      </c>
      <c r="AU81" s="1398" t="s">
        <v>5</v>
      </c>
      <c r="AV81" s="1399"/>
      <c r="AW81" s="1399"/>
      <c r="AX81" s="1399"/>
      <c r="AY81" s="558">
        <f t="shared" ref="AY81:BF81" si="105">SUM(AY8:AY80)</f>
        <v>9569.4041212121301</v>
      </c>
      <c r="AZ81" s="558">
        <f t="shared" si="105"/>
        <v>8249.4863113897663</v>
      </c>
      <c r="BA81" s="558">
        <f t="shared" si="105"/>
        <v>-6444.9111807732506</v>
      </c>
      <c r="BB81" s="558">
        <f t="shared" si="105"/>
        <v>1804.575130616513</v>
      </c>
      <c r="BC81" s="558">
        <f t="shared" si="105"/>
        <v>1804.5751307985154</v>
      </c>
      <c r="BD81" s="558">
        <f t="shared" si="105"/>
        <v>6444.9111805912462</v>
      </c>
      <c r="BE81" s="560"/>
      <c r="BF81" s="1028">
        <f t="shared" si="105"/>
        <v>9569.4041212121156</v>
      </c>
      <c r="BG81" s="558"/>
      <c r="BH81" s="558"/>
      <c r="BI81" s="561">
        <f>SUM(BI9:BI80)</f>
        <v>8249.4863113897663</v>
      </c>
    </row>
    <row r="82" spans="1:65">
      <c r="A82" s="471" t="s">
        <v>279</v>
      </c>
      <c r="B82" s="554"/>
      <c r="L82" s="9"/>
      <c r="M82" s="9"/>
      <c r="N82" s="9"/>
      <c r="O82" s="9"/>
      <c r="U82" s="9"/>
      <c r="V82" s="9"/>
      <c r="W82" s="9"/>
      <c r="X82" s="9"/>
      <c r="Y82" s="9"/>
      <c r="Z82" s="9"/>
      <c r="AE82" s="9"/>
      <c r="AF82" s="9"/>
      <c r="AG82" s="9"/>
      <c r="AH82" s="9"/>
      <c r="AI82" s="549" t="str">
        <f>IF(AJ82=AS87,AT87,"Normal")</f>
        <v>Normal</v>
      </c>
      <c r="AJ82" s="537" t="str">
        <f t="shared" si="94"/>
        <v>Feb</v>
      </c>
      <c r="AK82" s="447">
        <f t="shared" si="95"/>
        <v>2025</v>
      </c>
      <c r="AL82" s="447">
        <f t="shared" si="103"/>
        <v>72</v>
      </c>
      <c r="AM82" s="496">
        <f>IF(OR(التوصية!$B$248='بيانات للادخال'!$F$2,التوصية!$B$248='بيانات للادخال'!$F$3),AN82*(1+PNAVAT),IF(التوصية!$B$248='بيانات للادخال'!$F$4,(AN82-AQ82)+AQ82*(1+PNAVAT)))</f>
        <v>0</v>
      </c>
      <c r="AN82" s="496">
        <f t="shared" si="96"/>
        <v>0</v>
      </c>
      <c r="AO82" s="9">
        <f t="shared" si="97"/>
        <v>0</v>
      </c>
      <c r="AP82" s="9">
        <f t="shared" si="98"/>
        <v>0</v>
      </c>
      <c r="AQ82" s="9">
        <f t="shared" si="101"/>
        <v>1.422098718369805E-13</v>
      </c>
      <c r="AR82" s="550">
        <f t="shared" si="102"/>
        <v>1.3605446870926575E-11</v>
      </c>
      <c r="AS82" s="501" t="str">
        <f t="shared" si="58"/>
        <v>Sep</v>
      </c>
      <c r="AT82" s="495" t="str">
        <f t="shared" si="104"/>
        <v>normal</v>
      </c>
      <c r="AY82" s="562"/>
      <c r="BA82" s="9"/>
      <c r="BB82" s="9"/>
      <c r="BC82" s="9"/>
      <c r="BD82" s="9"/>
      <c r="BE82" s="9"/>
      <c r="BF82" s="9"/>
      <c r="BG82" s="563"/>
      <c r="BH82" s="9"/>
    </row>
    <row r="83" spans="1:65" ht="13.5" thickBot="1">
      <c r="A83" s="471" t="s">
        <v>280</v>
      </c>
      <c r="B83" s="554"/>
      <c r="L83" s="9"/>
      <c r="M83" s="9"/>
      <c r="N83" s="9"/>
      <c r="O83" s="9"/>
      <c r="U83" s="9"/>
      <c r="V83" s="9"/>
      <c r="W83" s="9"/>
      <c r="X83" s="9"/>
      <c r="Y83" s="9"/>
      <c r="Z83" s="9"/>
      <c r="AE83" s="9"/>
      <c r="AF83" s="9"/>
      <c r="AG83" s="9"/>
      <c r="AH83" s="9"/>
      <c r="AI83" s="1398" t="s">
        <v>5</v>
      </c>
      <c r="AJ83" s="1399"/>
      <c r="AK83" s="1399"/>
      <c r="AL83" s="1399"/>
      <c r="AM83" s="558">
        <f>SUM(AM10:AM82)</f>
        <v>9569.4041212121156</v>
      </c>
      <c r="AN83" s="558">
        <f>SUM(AN10:AN82)</f>
        <v>8249.4863113897609</v>
      </c>
      <c r="AO83" s="558">
        <f>SUM(AO10:AO82)</f>
        <v>-6444.9111807732506</v>
      </c>
      <c r="AP83" s="558">
        <f>SUM(AP10:AP82)</f>
        <v>1804.5751306165087</v>
      </c>
      <c r="AQ83" s="558">
        <f>SUM(AQ10:AQ82)</f>
        <v>1804.575130616525</v>
      </c>
      <c r="AR83" s="564"/>
      <c r="AS83" s="501" t="str">
        <f t="shared" si="58"/>
        <v>Oct</v>
      </c>
      <c r="AT83" s="495" t="str">
        <f t="shared" si="104"/>
        <v>normal</v>
      </c>
      <c r="BA83" s="9"/>
      <c r="BB83" s="9"/>
      <c r="BC83" s="9"/>
      <c r="BD83" s="9"/>
      <c r="BE83" s="9"/>
      <c r="BF83" s="9"/>
      <c r="BI83" s="9"/>
    </row>
    <row r="84" spans="1:65" ht="24.95" customHeight="1">
      <c r="A84" s="471" t="s">
        <v>281</v>
      </c>
      <c r="B84" s="554"/>
      <c r="L84" s="9"/>
      <c r="M84" s="9"/>
      <c r="N84" s="9"/>
      <c r="O84" s="9"/>
      <c r="U84" s="9"/>
      <c r="V84" s="9"/>
      <c r="W84" s="9"/>
      <c r="X84" s="9"/>
      <c r="Y84" s="9"/>
      <c r="Z84" s="9"/>
      <c r="AE84" s="9"/>
      <c r="AF84" s="9"/>
      <c r="AG84" s="9"/>
      <c r="AH84" s="9"/>
      <c r="AI84" s="9"/>
      <c r="AO84" s="9"/>
      <c r="AP84" s="9"/>
      <c r="AQ84" s="9"/>
      <c r="AR84" s="9"/>
      <c r="AS84" s="501" t="str">
        <f t="shared" si="58"/>
        <v>Nov</v>
      </c>
      <c r="AT84" s="495" t="str">
        <f t="shared" si="104"/>
        <v>normal</v>
      </c>
      <c r="BA84" s="9"/>
      <c r="BB84" s="9"/>
      <c r="BC84" s="9"/>
      <c r="BD84" s="9"/>
      <c r="BE84" s="9"/>
      <c r="BF84" s="9"/>
      <c r="BG84" s="9"/>
      <c r="BH84" s="9"/>
      <c r="BI84" s="9"/>
      <c r="BK84" s="1029" t="s">
        <v>1552</v>
      </c>
      <c r="BL84" s="1030" t="s">
        <v>1553</v>
      </c>
      <c r="BM84" s="1031" t="s">
        <v>1559</v>
      </c>
    </row>
    <row r="85" spans="1:65" ht="24.95" customHeight="1">
      <c r="A85" s="552" t="s">
        <v>282</v>
      </c>
      <c r="B85" s="554"/>
      <c r="L85" s="9"/>
      <c r="M85" s="9"/>
      <c r="N85" s="9"/>
      <c r="O85" s="9"/>
      <c r="U85" s="9"/>
      <c r="V85" s="9"/>
      <c r="W85" s="9"/>
      <c r="X85" s="9"/>
      <c r="Y85" s="9"/>
      <c r="Z85" s="9"/>
      <c r="AE85" s="9"/>
      <c r="AF85" s="9"/>
      <c r="AG85" s="9"/>
      <c r="AH85" s="9"/>
      <c r="AI85" s="9"/>
      <c r="AO85" s="9"/>
      <c r="AP85" s="9"/>
      <c r="AQ85" s="9"/>
      <c r="AR85" s="9"/>
      <c r="AS85" s="501" t="str">
        <f t="shared" si="58"/>
        <v>Dec</v>
      </c>
      <c r="AT85" s="495" t="str">
        <f t="shared" si="104"/>
        <v>normal</v>
      </c>
      <c r="BA85" s="9"/>
      <c r="BB85" s="9"/>
      <c r="BC85" s="9"/>
      <c r="BD85" s="9"/>
      <c r="BE85" s="9"/>
      <c r="BF85" s="9"/>
      <c r="BG85" s="9"/>
      <c r="BH85" s="9"/>
      <c r="BI85" s="9"/>
      <c r="BK85" s="1032" t="s">
        <v>1554</v>
      </c>
      <c r="BL85" s="1033">
        <v>935</v>
      </c>
      <c r="BM85" s="1412" t="s">
        <v>1558</v>
      </c>
    </row>
    <row r="86" spans="1:65" ht="24.95" customHeight="1" thickBot="1">
      <c r="A86" s="451" t="s">
        <v>271</v>
      </c>
      <c r="B86" s="554"/>
      <c r="L86" s="9"/>
      <c r="M86" s="9"/>
      <c r="N86" s="9"/>
      <c r="O86" s="9"/>
      <c r="U86" s="9"/>
      <c r="V86" s="9"/>
      <c r="W86" s="9"/>
      <c r="X86" s="9"/>
      <c r="Y86" s="9"/>
      <c r="Z86" s="9"/>
      <c r="AE86" s="9"/>
      <c r="AF86" s="9"/>
      <c r="AG86" s="9"/>
      <c r="AH86" s="9"/>
      <c r="AI86" s="9"/>
      <c r="AO86" s="9"/>
      <c r="AP86" s="9"/>
      <c r="AQ86" s="9"/>
      <c r="AR86" s="9"/>
      <c r="AS86" s="1008" t="str">
        <f t="shared" si="58"/>
        <v>Jan</v>
      </c>
      <c r="AT86" s="1009" t="str">
        <f t="shared" si="104"/>
        <v>normal</v>
      </c>
      <c r="BA86" s="9"/>
      <c r="BB86" s="9"/>
      <c r="BC86" s="9"/>
      <c r="BD86" s="9"/>
      <c r="BE86" s="9"/>
      <c r="BF86" s="9"/>
      <c r="BG86" s="9"/>
      <c r="BH86" s="9"/>
      <c r="BI86" s="9"/>
      <c r="BK86" s="1032" t="s">
        <v>1555</v>
      </c>
      <c r="BL86" s="1033">
        <v>1035</v>
      </c>
      <c r="BM86" s="1413"/>
    </row>
    <row r="87" spans="1:65" ht="24.95" customHeight="1">
      <c r="A87" s="471" t="s">
        <v>272</v>
      </c>
      <c r="B87" s="554"/>
      <c r="L87" s="9"/>
      <c r="M87" s="9"/>
      <c r="N87" s="9"/>
      <c r="O87" s="9"/>
      <c r="U87" s="9"/>
      <c r="V87" s="9"/>
      <c r="W87" s="9"/>
      <c r="X87" s="9"/>
      <c r="Y87" s="9"/>
      <c r="Z87" s="9"/>
      <c r="AE87" s="9"/>
      <c r="AF87" s="9"/>
      <c r="AG87" s="9"/>
      <c r="AH87" s="9"/>
      <c r="AI87" s="9"/>
      <c r="AO87" s="9"/>
      <c r="AP87" s="9"/>
      <c r="AQ87" s="9"/>
      <c r="AR87" s="9"/>
      <c r="AS87" s="9"/>
      <c r="AT87" s="9"/>
      <c r="BA87" s="9"/>
      <c r="BB87" s="9"/>
      <c r="BC87" s="9"/>
      <c r="BD87" s="9"/>
      <c r="BE87" s="9"/>
      <c r="BF87" s="9"/>
      <c r="BG87" s="9"/>
      <c r="BH87" s="9"/>
      <c r="BI87" s="9"/>
      <c r="BK87" s="1032" t="s">
        <v>1556</v>
      </c>
      <c r="BL87" s="1033">
        <v>1340</v>
      </c>
      <c r="BM87" s="1413"/>
    </row>
    <row r="88" spans="1:65" ht="24.95" customHeight="1">
      <c r="A88" s="471" t="s">
        <v>273</v>
      </c>
      <c r="B88" s="554"/>
      <c r="L88" s="9"/>
      <c r="M88" s="9"/>
      <c r="N88" s="9"/>
      <c r="O88" s="9"/>
      <c r="U88" s="9"/>
      <c r="V88" s="9"/>
      <c r="W88" s="9"/>
      <c r="X88" s="9"/>
      <c r="Y88" s="9"/>
      <c r="Z88" s="9"/>
      <c r="AE88" s="9"/>
      <c r="AF88" s="9"/>
      <c r="AG88" s="9"/>
      <c r="AH88" s="9"/>
      <c r="AI88" s="9"/>
      <c r="AO88" s="9"/>
      <c r="AP88" s="9"/>
      <c r="AQ88" s="9"/>
      <c r="AR88" s="9"/>
      <c r="AS88" s="9"/>
      <c r="AT88" s="9"/>
      <c r="BA88" s="9"/>
      <c r="BB88" s="9"/>
      <c r="BC88" s="9"/>
      <c r="BD88" s="9"/>
      <c r="BE88" s="9"/>
      <c r="BF88" s="9"/>
      <c r="BG88" s="9"/>
      <c r="BH88" s="9"/>
      <c r="BI88" s="9"/>
      <c r="BK88" s="1032" t="s">
        <v>1557</v>
      </c>
      <c r="BL88" s="1033">
        <v>1690</v>
      </c>
      <c r="BM88" s="1414"/>
    </row>
    <row r="89" spans="1:65">
      <c r="A89" s="471" t="s">
        <v>274</v>
      </c>
      <c r="B89" s="554"/>
      <c r="L89" s="9"/>
      <c r="M89" s="9"/>
      <c r="N89" s="9"/>
      <c r="O89" s="9"/>
      <c r="U89" s="9"/>
      <c r="V89" s="9"/>
      <c r="W89" s="9"/>
      <c r="X89" s="9"/>
      <c r="Y89" s="9"/>
      <c r="Z89" s="9"/>
      <c r="AE89" s="9"/>
      <c r="AF89" s="9"/>
      <c r="AG89" s="9"/>
      <c r="AH89" s="9"/>
      <c r="AI89" s="9"/>
      <c r="AO89" s="9"/>
      <c r="AP89" s="9"/>
      <c r="AQ89" s="9"/>
      <c r="AR89" s="9"/>
      <c r="AS89" s="9"/>
      <c r="AT89" s="9"/>
      <c r="BA89" s="9"/>
      <c r="BB89" s="9"/>
      <c r="BC89" s="9"/>
      <c r="BD89" s="9"/>
      <c r="BE89" s="9"/>
      <c r="BF89" s="9"/>
      <c r="BG89" s="9"/>
      <c r="BH89" s="9"/>
      <c r="BI89" s="9"/>
    </row>
    <row r="90" spans="1:65">
      <c r="A90" s="471" t="s">
        <v>275</v>
      </c>
      <c r="B90" s="554"/>
      <c r="L90" s="9"/>
      <c r="M90" s="9"/>
      <c r="N90" s="9"/>
      <c r="O90" s="9"/>
      <c r="U90" s="9"/>
      <c r="V90" s="9"/>
      <c r="W90" s="9"/>
      <c r="X90" s="9"/>
      <c r="Y90" s="9"/>
      <c r="Z90" s="9"/>
      <c r="AE90" s="9"/>
      <c r="AF90" s="9"/>
      <c r="AG90" s="9"/>
      <c r="AH90" s="9"/>
      <c r="AI90" s="9"/>
      <c r="AO90" s="9"/>
      <c r="AP90" s="9"/>
      <c r="AQ90" s="9"/>
      <c r="AR90" s="9"/>
      <c r="AS90" s="9"/>
      <c r="AT90" s="9"/>
      <c r="BA90" s="9"/>
      <c r="BB90" s="9"/>
      <c r="BC90" s="9"/>
      <c r="BD90" s="9"/>
      <c r="BE90" s="9"/>
      <c r="BF90" s="9"/>
      <c r="BG90" s="9"/>
      <c r="BH90" s="9"/>
      <c r="BI90" s="9"/>
    </row>
    <row r="91" spans="1:65">
      <c r="A91" s="471" t="s">
        <v>276</v>
      </c>
      <c r="B91" s="554"/>
      <c r="L91" s="9"/>
      <c r="M91" s="9"/>
      <c r="N91" s="9"/>
      <c r="O91" s="9"/>
      <c r="U91" s="9"/>
      <c r="V91" s="9"/>
      <c r="W91" s="9"/>
      <c r="X91" s="9"/>
      <c r="Y91" s="9"/>
      <c r="Z91" s="9"/>
      <c r="AE91" s="9"/>
      <c r="AF91" s="9"/>
      <c r="AG91" s="9"/>
      <c r="AH91" s="9"/>
      <c r="AI91" s="9"/>
      <c r="AO91" s="9"/>
      <c r="AP91" s="9"/>
      <c r="AQ91" s="9"/>
      <c r="AR91" s="9"/>
      <c r="AS91" s="9"/>
      <c r="AT91" s="9"/>
      <c r="BA91" s="9"/>
      <c r="BB91" s="9"/>
      <c r="BC91" s="9"/>
      <c r="BD91" s="9"/>
      <c r="BE91" s="9"/>
      <c r="BF91" s="9"/>
      <c r="BG91" s="9"/>
      <c r="BH91" s="9"/>
      <c r="BI91" s="9"/>
    </row>
    <row r="92" spans="1:65">
      <c r="A92" s="471" t="s">
        <v>277</v>
      </c>
      <c r="B92" s="554"/>
      <c r="L92" s="9"/>
      <c r="M92" s="9"/>
      <c r="N92" s="9"/>
      <c r="O92" s="9"/>
      <c r="U92" s="9"/>
      <c r="V92" s="9"/>
      <c r="W92" s="9"/>
      <c r="X92" s="9"/>
      <c r="Y92" s="9"/>
      <c r="Z92" s="9"/>
      <c r="AE92" s="9"/>
      <c r="AF92" s="9"/>
      <c r="AG92" s="9"/>
      <c r="AH92" s="9"/>
      <c r="AI92" s="9"/>
      <c r="AO92" s="9"/>
      <c r="AP92" s="9"/>
      <c r="AQ92" s="9"/>
      <c r="AR92" s="9"/>
      <c r="AS92" s="9"/>
      <c r="AT92" s="9"/>
      <c r="BA92" s="9"/>
      <c r="BB92" s="9"/>
      <c r="BC92" s="9"/>
      <c r="BD92" s="9"/>
      <c r="BE92" s="9"/>
      <c r="BF92" s="9"/>
      <c r="BG92" s="9"/>
      <c r="BH92" s="9"/>
      <c r="BI92" s="9"/>
    </row>
    <row r="93" spans="1:65">
      <c r="A93" s="471" t="s">
        <v>278</v>
      </c>
      <c r="B93" s="554"/>
      <c r="L93" s="9"/>
      <c r="M93" s="9"/>
      <c r="N93" s="9"/>
      <c r="O93" s="9"/>
      <c r="U93" s="9"/>
      <c r="V93" s="9"/>
      <c r="W93" s="9"/>
      <c r="X93" s="9"/>
      <c r="Y93" s="9"/>
      <c r="Z93" s="9"/>
      <c r="AE93" s="9"/>
      <c r="AF93" s="9"/>
      <c r="AG93" s="9"/>
      <c r="AH93" s="9"/>
      <c r="AI93" s="9"/>
      <c r="AO93" s="9"/>
      <c r="AP93" s="9"/>
      <c r="AQ93" s="9"/>
      <c r="AR93" s="9"/>
      <c r="AS93" s="9"/>
      <c r="AT93" s="9"/>
      <c r="BA93" s="9"/>
      <c r="BB93" s="9"/>
      <c r="BC93" s="9"/>
      <c r="BD93" s="9"/>
      <c r="BE93" s="9"/>
      <c r="BF93" s="9"/>
      <c r="BG93" s="9"/>
      <c r="BH93" s="9"/>
      <c r="BI93" s="9"/>
    </row>
    <row r="94" spans="1:65">
      <c r="A94" s="471" t="s">
        <v>279</v>
      </c>
      <c r="B94" s="554"/>
      <c r="L94" s="9"/>
      <c r="M94" s="9"/>
      <c r="N94" s="9"/>
      <c r="O94" s="9"/>
      <c r="U94" s="9"/>
      <c r="V94" s="9"/>
      <c r="W94" s="9"/>
      <c r="X94" s="9"/>
      <c r="Y94" s="9"/>
      <c r="Z94" s="9"/>
      <c r="AE94" s="9"/>
      <c r="AF94" s="9"/>
      <c r="AG94" s="9"/>
      <c r="AH94" s="9"/>
      <c r="AI94" s="9"/>
      <c r="AO94" s="9"/>
      <c r="AP94" s="9"/>
      <c r="AQ94" s="9"/>
      <c r="AR94" s="9"/>
      <c r="AS94" s="9"/>
      <c r="AT94" s="9"/>
      <c r="BA94" s="9"/>
      <c r="BB94" s="9"/>
      <c r="BC94" s="9"/>
      <c r="BD94" s="9"/>
      <c r="BE94" s="9"/>
      <c r="BF94" s="9"/>
      <c r="BG94" s="9"/>
      <c r="BH94" s="9"/>
      <c r="BI94" s="9"/>
    </row>
    <row r="95" spans="1:65">
      <c r="A95" s="471" t="s">
        <v>280</v>
      </c>
      <c r="B95" s="554"/>
      <c r="L95" s="9"/>
      <c r="M95" s="9"/>
      <c r="N95" s="9"/>
      <c r="O95" s="9"/>
      <c r="U95" s="9"/>
      <c r="V95" s="9"/>
      <c r="W95" s="9"/>
      <c r="X95" s="9"/>
      <c r="Y95" s="9"/>
      <c r="Z95" s="9"/>
      <c r="AE95" s="9"/>
      <c r="AF95" s="9"/>
      <c r="AG95" s="9"/>
      <c r="AH95" s="9"/>
      <c r="AI95" s="9"/>
      <c r="AO95" s="9"/>
      <c r="AP95" s="9"/>
      <c r="AQ95" s="9"/>
      <c r="AR95" s="9"/>
      <c r="AS95" s="9"/>
      <c r="AT95" s="9"/>
      <c r="BA95" s="9"/>
      <c r="BB95" s="9"/>
      <c r="BC95" s="9"/>
      <c r="BD95" s="9"/>
      <c r="BE95" s="9"/>
      <c r="BF95" s="9"/>
      <c r="BG95" s="9"/>
      <c r="BH95" s="9"/>
      <c r="BI95" s="9"/>
    </row>
    <row r="96" spans="1:65">
      <c r="A96" s="471" t="s">
        <v>281</v>
      </c>
      <c r="B96" s="554"/>
      <c r="L96" s="9"/>
      <c r="M96" s="9"/>
      <c r="N96" s="9"/>
      <c r="O96" s="9"/>
      <c r="U96" s="9"/>
      <c r="V96" s="9"/>
      <c r="W96" s="9"/>
      <c r="X96" s="9"/>
      <c r="Y96" s="9"/>
      <c r="Z96" s="9"/>
      <c r="AE96" s="9"/>
      <c r="AF96" s="9"/>
      <c r="AG96" s="9"/>
      <c r="AH96" s="9"/>
      <c r="AI96" s="9"/>
      <c r="AO96" s="9"/>
      <c r="AP96" s="9"/>
      <c r="AQ96" s="9"/>
      <c r="AR96" s="9"/>
      <c r="AS96" s="9"/>
      <c r="AT96" s="9"/>
      <c r="BA96" s="9"/>
      <c r="BB96" s="9"/>
      <c r="BC96" s="9"/>
      <c r="BD96" s="9"/>
      <c r="BE96" s="9"/>
      <c r="BF96" s="9"/>
      <c r="BG96" s="9"/>
      <c r="BH96" s="9"/>
      <c r="BI96" s="9"/>
    </row>
    <row r="97" spans="1:61">
      <c r="A97" s="552" t="s">
        <v>282</v>
      </c>
      <c r="B97" s="554"/>
      <c r="L97" s="9"/>
      <c r="M97" s="9"/>
      <c r="N97" s="9"/>
      <c r="O97" s="9"/>
      <c r="U97" s="9"/>
      <c r="V97" s="9"/>
      <c r="W97" s="9"/>
      <c r="X97" s="9"/>
      <c r="Y97" s="9"/>
      <c r="Z97" s="9"/>
      <c r="AE97" s="9"/>
      <c r="AF97" s="9"/>
      <c r="AG97" s="9"/>
      <c r="AH97" s="9"/>
      <c r="AI97" s="9"/>
      <c r="AO97" s="9"/>
      <c r="AP97" s="9"/>
      <c r="AQ97" s="9"/>
      <c r="AR97" s="9"/>
      <c r="AS97" s="9"/>
      <c r="AT97" s="9"/>
      <c r="BA97" s="9"/>
      <c r="BB97" s="9"/>
      <c r="BC97" s="9"/>
      <c r="BD97" s="9"/>
      <c r="BE97" s="9"/>
      <c r="BF97" s="9"/>
      <c r="BG97" s="9"/>
      <c r="BH97" s="9"/>
      <c r="BI97" s="9"/>
    </row>
    <row r="98" spans="1:61">
      <c r="A98" s="451" t="s">
        <v>271</v>
      </c>
      <c r="B98" s="554"/>
      <c r="L98" s="9"/>
      <c r="M98" s="9"/>
      <c r="N98" s="9"/>
      <c r="O98" s="9"/>
      <c r="U98" s="9"/>
      <c r="V98" s="9"/>
      <c r="W98" s="9"/>
      <c r="X98" s="9"/>
      <c r="Y98" s="9"/>
      <c r="Z98" s="9"/>
      <c r="AE98" s="9"/>
      <c r="AF98" s="9"/>
      <c r="AG98" s="9"/>
      <c r="AH98" s="9"/>
      <c r="AI98" s="9"/>
      <c r="AO98" s="9"/>
      <c r="AP98" s="9"/>
      <c r="AQ98" s="9"/>
      <c r="AR98" s="9"/>
      <c r="AS98" s="9"/>
      <c r="AT98" s="9"/>
      <c r="BA98" s="9"/>
      <c r="BB98" s="9"/>
      <c r="BC98" s="9"/>
      <c r="BD98" s="9"/>
      <c r="BE98" s="9"/>
      <c r="BF98" s="9"/>
      <c r="BG98" s="9"/>
      <c r="BH98" s="9"/>
      <c r="BI98" s="9"/>
    </row>
    <row r="99" spans="1:61">
      <c r="A99" s="471" t="s">
        <v>272</v>
      </c>
      <c r="B99" s="554"/>
      <c r="L99" s="9"/>
      <c r="M99" s="9"/>
      <c r="N99" s="9"/>
      <c r="O99" s="9"/>
      <c r="U99" s="9"/>
      <c r="V99" s="9"/>
      <c r="W99" s="9"/>
      <c r="X99" s="9"/>
      <c r="Y99" s="9"/>
      <c r="Z99" s="9"/>
      <c r="AE99" s="9"/>
      <c r="AF99" s="9"/>
      <c r="AG99" s="9"/>
      <c r="AH99" s="9"/>
      <c r="AI99" s="9"/>
      <c r="AO99" s="9"/>
      <c r="AP99" s="9"/>
      <c r="AQ99" s="9"/>
      <c r="AR99" s="9"/>
      <c r="AS99" s="9"/>
      <c r="AT99" s="9"/>
      <c r="BA99" s="9"/>
      <c r="BB99" s="9"/>
      <c r="BC99" s="9"/>
      <c r="BD99" s="9"/>
      <c r="BE99" s="9"/>
      <c r="BF99" s="9"/>
      <c r="BG99" s="9"/>
      <c r="BH99" s="9"/>
      <c r="BI99" s="9"/>
    </row>
    <row r="100" spans="1:61">
      <c r="A100" s="471" t="s">
        <v>273</v>
      </c>
      <c r="B100" s="554"/>
      <c r="L100" s="9"/>
      <c r="M100" s="9"/>
      <c r="N100" s="9"/>
      <c r="O100" s="9"/>
      <c r="U100" s="9"/>
      <c r="V100" s="9"/>
      <c r="W100" s="9"/>
      <c r="X100" s="9"/>
      <c r="Y100" s="9"/>
      <c r="Z100" s="9"/>
      <c r="AE100" s="9"/>
      <c r="AF100" s="9"/>
      <c r="AG100" s="9"/>
      <c r="AH100" s="9"/>
      <c r="AI100" s="9"/>
      <c r="AO100" s="9"/>
      <c r="AP100" s="9"/>
      <c r="AQ100" s="9"/>
      <c r="AR100" s="9"/>
      <c r="AS100" s="9"/>
      <c r="AT100" s="9"/>
      <c r="BA100" s="9"/>
      <c r="BB100" s="9"/>
      <c r="BC100" s="9"/>
      <c r="BD100" s="9"/>
      <c r="BE100" s="9"/>
      <c r="BF100" s="9"/>
      <c r="BG100" s="9"/>
      <c r="BH100" s="9"/>
      <c r="BI100" s="9"/>
    </row>
    <row r="101" spans="1:61">
      <c r="A101" s="471" t="s">
        <v>274</v>
      </c>
      <c r="B101" s="554"/>
      <c r="L101" s="9"/>
      <c r="M101" s="9"/>
      <c r="N101" s="9"/>
      <c r="O101" s="9"/>
      <c r="U101" s="9"/>
      <c r="V101" s="9"/>
      <c r="W101" s="9"/>
      <c r="X101" s="9"/>
      <c r="Y101" s="9"/>
      <c r="Z101" s="9"/>
      <c r="AE101" s="9"/>
      <c r="AF101" s="9"/>
      <c r="AG101" s="9"/>
      <c r="AH101" s="9"/>
      <c r="AI101" s="9"/>
      <c r="AO101" s="9"/>
      <c r="AP101" s="9"/>
      <c r="AQ101" s="9"/>
      <c r="AR101" s="9"/>
      <c r="AS101" s="9"/>
      <c r="AT101" s="9"/>
      <c r="BA101" s="9"/>
      <c r="BB101" s="9"/>
      <c r="BC101" s="9"/>
      <c r="BD101" s="9"/>
      <c r="BE101" s="9"/>
      <c r="BF101" s="9"/>
      <c r="BG101" s="9"/>
      <c r="BH101" s="9"/>
      <c r="BI101" s="9"/>
    </row>
    <row r="102" spans="1:61">
      <c r="A102" s="471" t="s">
        <v>275</v>
      </c>
      <c r="B102" s="554"/>
      <c r="L102" s="9"/>
      <c r="M102" s="9"/>
      <c r="N102" s="9"/>
      <c r="O102" s="9"/>
      <c r="U102" s="9"/>
      <c r="V102" s="9"/>
      <c r="W102" s="9"/>
      <c r="X102" s="9"/>
      <c r="Y102" s="9"/>
      <c r="Z102" s="9"/>
      <c r="AE102" s="9"/>
      <c r="AF102" s="9"/>
      <c r="AG102" s="9"/>
      <c r="AH102" s="9"/>
      <c r="AI102" s="9"/>
      <c r="AO102" s="9"/>
      <c r="AP102" s="9"/>
      <c r="AQ102" s="9"/>
      <c r="AR102" s="9"/>
      <c r="AS102" s="9"/>
      <c r="AT102" s="9"/>
      <c r="BA102" s="9"/>
      <c r="BB102" s="9"/>
      <c r="BC102" s="9"/>
      <c r="BD102" s="9"/>
      <c r="BE102" s="9"/>
      <c r="BF102" s="9"/>
      <c r="BG102" s="9"/>
      <c r="BH102" s="9"/>
      <c r="BI102" s="9"/>
    </row>
    <row r="103" spans="1:61">
      <c r="A103" s="471" t="s">
        <v>276</v>
      </c>
      <c r="B103" s="554"/>
      <c r="L103" s="9"/>
      <c r="M103" s="9"/>
      <c r="N103" s="9"/>
      <c r="O103" s="9"/>
      <c r="U103" s="9"/>
      <c r="V103" s="9"/>
      <c r="W103" s="9"/>
      <c r="X103" s="9"/>
      <c r="Y103" s="9"/>
      <c r="Z103" s="9"/>
      <c r="AE103" s="9"/>
      <c r="AF103" s="9"/>
      <c r="AG103" s="9"/>
      <c r="AH103" s="9"/>
      <c r="AI103" s="9"/>
      <c r="AO103" s="9"/>
      <c r="AP103" s="9"/>
      <c r="AQ103" s="9"/>
      <c r="AR103" s="9"/>
      <c r="AS103" s="9"/>
      <c r="AT103" s="9"/>
      <c r="BA103" s="9"/>
      <c r="BB103" s="9"/>
      <c r="BC103" s="9"/>
      <c r="BD103" s="9"/>
      <c r="BE103" s="9"/>
      <c r="BF103" s="9"/>
      <c r="BG103" s="9"/>
      <c r="BH103" s="9"/>
      <c r="BI103" s="9"/>
    </row>
    <row r="104" spans="1:61">
      <c r="A104" s="471" t="s">
        <v>277</v>
      </c>
      <c r="B104" s="554"/>
      <c r="L104" s="9"/>
      <c r="M104" s="9"/>
      <c r="N104" s="9"/>
      <c r="O104" s="9"/>
      <c r="U104" s="9"/>
      <c r="V104" s="9"/>
      <c r="W104" s="9"/>
      <c r="X104" s="9"/>
      <c r="Y104" s="9"/>
      <c r="Z104" s="9"/>
      <c r="AE104" s="9"/>
      <c r="AF104" s="9"/>
      <c r="AG104" s="9"/>
      <c r="AH104" s="9"/>
      <c r="AI104" s="9"/>
      <c r="AO104" s="9"/>
      <c r="AP104" s="9"/>
      <c r="AQ104" s="9"/>
      <c r="AR104" s="9"/>
      <c r="AS104" s="9"/>
      <c r="AT104" s="9"/>
      <c r="BA104" s="9"/>
      <c r="BB104" s="9"/>
      <c r="BC104" s="9"/>
      <c r="BD104" s="9"/>
      <c r="BE104" s="9"/>
      <c r="BF104" s="9"/>
      <c r="BG104" s="9"/>
      <c r="BH104" s="9"/>
      <c r="BI104" s="9"/>
    </row>
    <row r="105" spans="1:61">
      <c r="A105" s="471" t="s">
        <v>278</v>
      </c>
      <c r="B105" s="554"/>
      <c r="L105" s="9"/>
      <c r="M105" s="9"/>
      <c r="N105" s="9"/>
      <c r="O105" s="9"/>
      <c r="U105" s="9"/>
      <c r="V105" s="9"/>
      <c r="W105" s="9"/>
      <c r="X105" s="9"/>
      <c r="Y105" s="9"/>
      <c r="Z105" s="9"/>
      <c r="AE105" s="9"/>
      <c r="AF105" s="9"/>
      <c r="AG105" s="9"/>
      <c r="AH105" s="9"/>
      <c r="AI105" s="9"/>
      <c r="AO105" s="9"/>
      <c r="AP105" s="9"/>
      <c r="AQ105" s="9"/>
      <c r="AR105" s="9"/>
      <c r="AS105" s="9"/>
      <c r="AT105" s="9"/>
      <c r="BA105" s="9"/>
      <c r="BB105" s="9"/>
      <c r="BC105" s="9"/>
      <c r="BD105" s="9"/>
      <c r="BE105" s="9"/>
      <c r="BF105" s="9"/>
      <c r="BG105" s="9"/>
      <c r="BH105" s="9"/>
      <c r="BI105" s="9"/>
    </row>
    <row r="106" spans="1:61">
      <c r="A106" s="471" t="s">
        <v>279</v>
      </c>
      <c r="B106" s="554"/>
      <c r="L106" s="9"/>
      <c r="M106" s="9"/>
      <c r="N106" s="9"/>
      <c r="O106" s="9"/>
      <c r="U106" s="9"/>
      <c r="V106" s="9"/>
      <c r="W106" s="9"/>
      <c r="X106" s="9"/>
      <c r="Y106" s="9"/>
      <c r="Z106" s="9"/>
      <c r="AE106" s="9"/>
      <c r="AF106" s="9"/>
      <c r="AG106" s="9"/>
      <c r="AH106" s="9"/>
      <c r="AI106" s="9"/>
      <c r="AO106" s="9"/>
      <c r="AP106" s="9"/>
      <c r="AQ106" s="9"/>
      <c r="AR106" s="9"/>
      <c r="AS106" s="9"/>
      <c r="AT106" s="9"/>
      <c r="BA106" s="9"/>
      <c r="BB106" s="9"/>
      <c r="BC106" s="9"/>
      <c r="BD106" s="9"/>
      <c r="BE106" s="9"/>
      <c r="BF106" s="9"/>
      <c r="BG106" s="9"/>
      <c r="BH106" s="9"/>
    </row>
    <row r="107" spans="1:61">
      <c r="A107" s="471" t="s">
        <v>280</v>
      </c>
      <c r="B107" s="554"/>
      <c r="L107" s="9"/>
      <c r="M107" s="9"/>
      <c r="N107" s="9"/>
      <c r="O107" s="9"/>
      <c r="U107" s="9"/>
      <c r="V107" s="9"/>
      <c r="W107" s="9"/>
      <c r="X107" s="9"/>
      <c r="Y107" s="9"/>
      <c r="Z107" s="9"/>
      <c r="AE107" s="9"/>
      <c r="AF107" s="9"/>
      <c r="AG107" s="9"/>
      <c r="AH107" s="9"/>
      <c r="AI107" s="9"/>
      <c r="AO107" s="9"/>
      <c r="AP107" s="9"/>
      <c r="AQ107" s="9"/>
      <c r="AR107" s="9"/>
      <c r="AS107" s="9"/>
      <c r="AT107" s="9"/>
      <c r="BA107" s="9"/>
      <c r="BB107" s="9"/>
      <c r="BC107" s="9"/>
      <c r="BD107" s="9"/>
      <c r="BE107" s="9"/>
      <c r="BF107" s="9"/>
      <c r="BG107" s="9"/>
      <c r="BH107" s="9"/>
    </row>
    <row r="108" spans="1:61">
      <c r="A108" s="471" t="s">
        <v>281</v>
      </c>
      <c r="B108" s="554"/>
      <c r="L108" s="9"/>
      <c r="M108" s="9"/>
      <c r="N108" s="9"/>
      <c r="O108" s="9"/>
      <c r="U108" s="9"/>
      <c r="V108" s="9"/>
      <c r="W108" s="9"/>
      <c r="X108" s="9"/>
      <c r="Y108" s="9"/>
      <c r="Z108" s="9"/>
      <c r="AE108" s="9"/>
      <c r="AF108" s="9"/>
      <c r="AG108" s="9"/>
      <c r="AH108" s="9"/>
      <c r="AI108" s="9"/>
      <c r="AO108" s="9"/>
      <c r="AP108" s="9"/>
      <c r="AQ108" s="9"/>
      <c r="AR108" s="9"/>
      <c r="AS108" s="9"/>
      <c r="AT108" s="9"/>
      <c r="BA108" s="9"/>
      <c r="BB108" s="9"/>
      <c r="BC108" s="9"/>
      <c r="BD108" s="9"/>
      <c r="BE108" s="9"/>
      <c r="BF108" s="9"/>
      <c r="BG108" s="9"/>
      <c r="BH108" s="9"/>
    </row>
    <row r="109" spans="1:61">
      <c r="A109" s="552" t="s">
        <v>282</v>
      </c>
      <c r="B109" s="554"/>
      <c r="L109" s="9"/>
      <c r="M109" s="9"/>
      <c r="N109" s="9"/>
      <c r="O109" s="9"/>
      <c r="U109" s="9"/>
      <c r="V109" s="9"/>
      <c r="W109" s="9"/>
      <c r="X109" s="9"/>
      <c r="Y109" s="9"/>
      <c r="AE109" s="9"/>
      <c r="AF109" s="9"/>
      <c r="AG109" s="9"/>
      <c r="AH109" s="9"/>
      <c r="AI109" s="9"/>
      <c r="AO109" s="9"/>
      <c r="AP109" s="9"/>
      <c r="AQ109" s="9"/>
      <c r="AR109" s="9"/>
      <c r="AS109" s="9"/>
      <c r="AT109" s="9"/>
      <c r="BA109" s="9"/>
      <c r="BB109" s="9"/>
      <c r="BC109" s="9"/>
      <c r="BD109" s="9"/>
      <c r="BE109" s="9"/>
      <c r="BF109" s="9"/>
      <c r="BG109" s="9"/>
      <c r="BH109" s="9"/>
    </row>
    <row r="110" spans="1:61">
      <c r="A110" s="451" t="s">
        <v>271</v>
      </c>
      <c r="B110" s="554"/>
      <c r="AI110" s="9"/>
      <c r="AO110" s="9"/>
      <c r="AP110" s="9"/>
      <c r="AQ110" s="9"/>
      <c r="AR110" s="9"/>
      <c r="AS110" s="9"/>
      <c r="AT110" s="9"/>
      <c r="BG110" s="9"/>
      <c r="BH110" s="9"/>
    </row>
    <row r="111" spans="1:61">
      <c r="A111" s="471" t="s">
        <v>272</v>
      </c>
      <c r="B111" s="554"/>
      <c r="P111" s="447" t="e">
        <f>V81/AS5</f>
        <v>#VALUE!</v>
      </c>
      <c r="AA111" s="447" t="e">
        <f>AF81/#REF!</f>
        <v>#REF!</v>
      </c>
      <c r="AI111" s="9"/>
      <c r="AO111" s="9"/>
      <c r="AP111" s="9"/>
      <c r="AQ111" s="9"/>
      <c r="AR111" s="9"/>
      <c r="AS111" s="9"/>
      <c r="AT111" s="9"/>
      <c r="AU111" s="447" t="e">
        <f>BB81/#REF!</f>
        <v>#REF!</v>
      </c>
      <c r="BG111" s="9"/>
      <c r="BH111" s="9"/>
    </row>
    <row r="112" spans="1:61">
      <c r="A112" s="471" t="s">
        <v>273</v>
      </c>
      <c r="B112" s="554"/>
      <c r="P112" s="447" t="e">
        <f>P111/5</f>
        <v>#VALUE!</v>
      </c>
      <c r="AA112" s="447" t="e">
        <f>AA111/5</f>
        <v>#REF!</v>
      </c>
      <c r="AS112" s="9"/>
      <c r="AT112" s="9"/>
      <c r="AU112" s="447" t="e">
        <f>AU111/5</f>
        <v>#REF!</v>
      </c>
    </row>
    <row r="113" spans="1:46">
      <c r="A113" s="471" t="s">
        <v>274</v>
      </c>
      <c r="B113" s="554"/>
      <c r="AJ113" s="447" t="e">
        <f>AP83/#REF!</f>
        <v>#REF!</v>
      </c>
      <c r="AS113" s="9"/>
      <c r="AT113" s="9"/>
    </row>
    <row r="114" spans="1:46">
      <c r="A114" s="471" t="s">
        <v>275</v>
      </c>
      <c r="B114" s="554"/>
      <c r="AJ114" s="447" t="e">
        <f>AJ113/5</f>
        <v>#REF!</v>
      </c>
      <c r="AS114" s="9"/>
      <c r="AT114" s="9"/>
    </row>
    <row r="115" spans="1:46">
      <c r="A115" s="471" t="s">
        <v>276</v>
      </c>
      <c r="B115" s="554"/>
    </row>
    <row r="116" spans="1:46">
      <c r="A116" s="471" t="s">
        <v>277</v>
      </c>
      <c r="B116" s="554"/>
    </row>
    <row r="117" spans="1:46">
      <c r="A117" s="471" t="s">
        <v>278</v>
      </c>
      <c r="B117" s="554"/>
    </row>
    <row r="118" spans="1:46">
      <c r="A118" s="471" t="s">
        <v>279</v>
      </c>
      <c r="B118" s="554"/>
    </row>
    <row r="119" spans="1:46">
      <c r="A119" s="471" t="s">
        <v>280</v>
      </c>
      <c r="B119" s="554"/>
    </row>
    <row r="120" spans="1:46">
      <c r="A120" s="471" t="s">
        <v>281</v>
      </c>
      <c r="B120" s="554"/>
    </row>
    <row r="121" spans="1:46">
      <c r="A121" s="552" t="s">
        <v>282</v>
      </c>
      <c r="B121" s="554"/>
    </row>
    <row r="122" spans="1:46">
      <c r="B122" s="554"/>
    </row>
    <row r="123" spans="1:46">
      <c r="B123" s="554"/>
    </row>
  </sheetData>
  <mergeCells count="27">
    <mergeCell ref="BM85:BM88"/>
    <mergeCell ref="B1:C1"/>
    <mergeCell ref="G1:O1"/>
    <mergeCell ref="P1:Y1"/>
    <mergeCell ref="Z1:AH1"/>
    <mergeCell ref="AI83:AL83"/>
    <mergeCell ref="D54:E54"/>
    <mergeCell ref="D3:E3"/>
    <mergeCell ref="D4:E4"/>
    <mergeCell ref="D53:E53"/>
    <mergeCell ref="D13:E13"/>
    <mergeCell ref="D23:E23"/>
    <mergeCell ref="D33:E33"/>
    <mergeCell ref="D14:E14"/>
    <mergeCell ref="D24:E24"/>
    <mergeCell ref="D34:E34"/>
    <mergeCell ref="AI1:AT1"/>
    <mergeCell ref="D44:E44"/>
    <mergeCell ref="D43:E43"/>
    <mergeCell ref="AU1:BI1"/>
    <mergeCell ref="BG7:BG8"/>
    <mergeCell ref="BH7:BI7"/>
    <mergeCell ref="D63:E63"/>
    <mergeCell ref="G81:I81"/>
    <mergeCell ref="P81:R81"/>
    <mergeCell ref="Z81:AB81"/>
    <mergeCell ref="AU81:AX81"/>
  </mergeCells>
  <conditionalFormatting sqref="AA6">
    <cfRule type="cellIs" dxfId="91" priority="22" operator="lessThan">
      <formula>0</formula>
    </cfRule>
    <cfRule type="cellIs" dxfId="90" priority="24" operator="greaterThan">
      <formula>0</formula>
    </cfRule>
  </conditionalFormatting>
  <conditionalFormatting sqref="AJ8">
    <cfRule type="cellIs" dxfId="89" priority="19" operator="lessThan">
      <formula>0</formula>
    </cfRule>
    <cfRule type="cellIs" dxfId="88" priority="21" operator="greaterThan">
      <formula>0</formula>
    </cfRule>
  </conditionalFormatting>
  <conditionalFormatting sqref="AI10:AI82">
    <cfRule type="cellIs" dxfId="87" priority="16" operator="equal">
      <formula>"High"</formula>
    </cfRule>
    <cfRule type="cellIs" dxfId="86" priority="18" operator="equal">
      <formula>"High Season"</formula>
    </cfRule>
  </conditionalFormatting>
  <conditionalFormatting sqref="AN10:AN82">
    <cfRule type="cellIs" dxfId="85" priority="17" operator="equal">
      <formula>"High Season"</formula>
    </cfRule>
  </conditionalFormatting>
  <conditionalFormatting sqref="AI10:AI82">
    <cfRule type="cellIs" dxfId="84" priority="15" operator="equal">
      <formula>"Dull"</formula>
    </cfRule>
  </conditionalFormatting>
  <conditionalFormatting sqref="AI11:AI82">
    <cfRule type="cellIs" dxfId="83" priority="14" operator="equal">
      <formula>"Dull"</formula>
    </cfRule>
  </conditionalFormatting>
  <conditionalFormatting sqref="Q6">
    <cfRule type="cellIs" dxfId="82" priority="11" operator="lessThan">
      <formula>0</formula>
    </cfRule>
    <cfRule type="cellIs" dxfId="81" priority="12" operator="equal">
      <formula>0</formula>
    </cfRule>
    <cfRule type="cellIs" dxfId="80" priority="13" operator="greaterThan">
      <formula>0</formula>
    </cfRule>
  </conditionalFormatting>
  <conditionalFormatting sqref="T8:T80">
    <cfRule type="cellIs" dxfId="79" priority="10" operator="equal">
      <formula>"High Season"</formula>
    </cfRule>
  </conditionalFormatting>
  <conditionalFormatting sqref="AA6">
    <cfRule type="cellIs" dxfId="78" priority="23" operator="equal">
      <formula>0</formula>
    </cfRule>
  </conditionalFormatting>
  <conditionalFormatting sqref="AJ8">
    <cfRule type="cellIs" dxfId="77" priority="20" operator="equal">
      <formula>0</formula>
    </cfRule>
  </conditionalFormatting>
  <conditionalFormatting sqref="AV6">
    <cfRule type="cellIs" dxfId="76" priority="7" operator="lessThan">
      <formula>0</formula>
    </cfRule>
    <cfRule type="cellIs" dxfId="75" priority="9" operator="greaterThan">
      <formula>0</formula>
    </cfRule>
  </conditionalFormatting>
  <conditionalFormatting sqref="AZ8:AZ80">
    <cfRule type="cellIs" dxfId="74" priority="6" operator="equal">
      <formula>"High Season"</formula>
    </cfRule>
  </conditionalFormatting>
  <conditionalFormatting sqref="AV6">
    <cfRule type="cellIs" dxfId="73" priority="8" operator="equal">
      <formula>0</formula>
    </cfRule>
  </conditionalFormatting>
  <conditionalFormatting sqref="D65">
    <cfRule type="cellIs" dxfId="72" priority="5" operator="equal">
      <formula>"n/a"</formula>
    </cfRule>
  </conditionalFormatting>
  <conditionalFormatting sqref="E64:E65">
    <cfRule type="expression" dxfId="71" priority="2">
      <formula>FC=EUR</formula>
    </cfRule>
  </conditionalFormatting>
  <conditionalFormatting sqref="D66">
    <cfRule type="cellIs" dxfId="70" priority="1" operator="equal">
      <formula>"n/a"</formula>
    </cfRule>
  </conditionalFormatting>
  <dataValidations count="1">
    <dataValidation type="list" allowBlank="1" showInputMessage="1" showErrorMessage="1" sqref="BG9:BG81" xr:uid="{00000000-0002-0000-0600-000000000000}">
      <formula1>$AW$8:$AW$80</formula1>
    </dataValidation>
  </dataValidations>
  <printOptions horizontalCentered="1" verticalCentered="1"/>
  <pageMargins left="0.7" right="0.7" top="0.75" bottom="0.75" header="0.3" footer="0.3"/>
  <pageSetup paperSize="9" orientation="portrait" r:id="rId1"/>
  <headerFooter>
    <oddHeader>&amp;L&amp;D&amp;C&amp;"-,Bold"&amp;12&amp;Uالحاسبة شاملة اقساط التأمين&amp;Rالزبون: &amp;F</oddHeader>
  </headerFooter>
  <extLst>
    <ext xmlns:x14="http://schemas.microsoft.com/office/spreadsheetml/2009/9/main" uri="{78C0D931-6437-407d-A8EE-F0AAD7539E65}">
      <x14:conditionalFormattings>
        <x14:conditionalFormatting xmlns:xm="http://schemas.microsoft.com/office/excel/2006/main">
          <x14:cfRule type="expression" priority="3" id="{46F5EB70-6131-4471-B347-17EBCD493EF4}">
            <xm:f>$B$42='بيانات للادخال'!$A$3</xm:f>
            <x14:dxf>
              <numFmt numFmtId="178" formatCode="[$₪-40D]\ #,##0"/>
            </x14:dxf>
          </x14:cfRule>
          <x14:cfRule type="expression" priority="4" id="{45EE813F-7AAD-44DE-B437-79B6D0745777}">
            <xm:f>$B$42='بيانات للادخال'!$A$2</xm:f>
            <x14:dxf>
              <numFmt numFmtId="177" formatCode="&quot;$&quot;#,##0"/>
            </x14:dxf>
          </x14:cfRule>
          <xm:sqref>E64:E65</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00000000-0002-0000-0600-000001000000}">
          <x14:formula1>
            <xm:f>'بيانات للادخال'!$M$2:$M$3</xm:f>
          </x14:formula1>
          <xm:sqref>E1</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JU79"/>
  <sheetViews>
    <sheetView showGridLines="0" rightToLeft="1" topLeftCell="K1" zoomScaleNormal="100" workbookViewId="0">
      <selection activeCell="W5" sqref="W5"/>
    </sheetView>
  </sheetViews>
  <sheetFormatPr defaultColWidth="9.140625" defaultRowHeight="15"/>
  <cols>
    <col min="1" max="1" width="11.42578125" style="317" hidden="1" customWidth="1"/>
    <col min="2" max="2" width="10.28515625" style="317" hidden="1" customWidth="1"/>
    <col min="3" max="3" width="11.7109375" style="317" hidden="1" customWidth="1"/>
    <col min="4" max="4" width="13.7109375" style="317" hidden="1" customWidth="1"/>
    <col min="5" max="5" width="12.7109375" style="317" hidden="1" customWidth="1"/>
    <col min="6" max="8" width="10.7109375" style="317" hidden="1" customWidth="1"/>
    <col min="9" max="9" width="0.28515625" style="318" hidden="1" customWidth="1"/>
    <col min="10" max="10" width="4.7109375" style="319" hidden="1" customWidth="1"/>
    <col min="11" max="11" width="11.42578125" style="616" bestFit="1" customWidth="1"/>
    <col min="12" max="12" width="9.5703125" style="268" bestFit="1" customWidth="1"/>
    <col min="13" max="13" width="10.5703125" style="268" bestFit="1" customWidth="1"/>
    <col min="14" max="14" width="1.7109375" style="268" bestFit="1" customWidth="1"/>
    <col min="15" max="15" width="10.5703125" style="268" bestFit="1" customWidth="1"/>
    <col min="16" max="16" width="9.28515625" style="333" bestFit="1" customWidth="1"/>
    <col min="17" max="17" width="9.7109375" style="268" bestFit="1" customWidth="1"/>
    <col min="18" max="18" width="10.5703125" style="268" bestFit="1" customWidth="1"/>
    <col min="19" max="19" width="12.7109375" style="268" bestFit="1" customWidth="1"/>
    <col min="20" max="20" width="12.28515625" style="333" bestFit="1" customWidth="1"/>
    <col min="21" max="21" width="9.140625" style="268" bestFit="1" customWidth="1"/>
    <col min="22" max="22" width="10.28515625" style="268" bestFit="1" customWidth="1"/>
    <col min="23" max="23" width="7.85546875" style="268" bestFit="1" customWidth="1"/>
    <col min="24" max="24" width="4.7109375" style="319" customWidth="1"/>
    <col min="25" max="25" width="8.28515625" style="311" customWidth="1"/>
    <col min="26" max="26" width="9.140625" style="312" customWidth="1"/>
    <col min="27" max="27" width="9.140625" style="313" customWidth="1"/>
    <col min="28" max="28" width="10.5703125" style="313" customWidth="1"/>
    <col min="29" max="29" width="9.140625" style="314" customWidth="1"/>
    <col min="30" max="30" width="9.140625" style="312" customWidth="1"/>
    <col min="31" max="32" width="9.140625" style="313" customWidth="1"/>
    <col min="33" max="33" width="9.140625" style="314" customWidth="1"/>
    <col min="34" max="34" width="9.140625" style="312" customWidth="1"/>
    <col min="35" max="36" width="9.140625" style="313" customWidth="1"/>
    <col min="37" max="37" width="9.140625" style="314" customWidth="1"/>
    <col min="38" max="38" width="9.140625" style="312" customWidth="1"/>
    <col min="39" max="40" width="9.140625" style="313" customWidth="1"/>
    <col min="41" max="41" width="9.140625" style="314" customWidth="1"/>
    <col min="42" max="42" width="9.140625" style="312" customWidth="1"/>
    <col min="43" max="43" width="9.140625" style="313" customWidth="1"/>
    <col min="44" max="44" width="10.5703125" style="313" customWidth="1"/>
    <col min="45" max="45" width="9.140625" style="314" customWidth="1"/>
    <col min="46" max="46" width="9.140625" style="312" customWidth="1"/>
    <col min="47" max="47" width="9.140625" style="313" customWidth="1"/>
    <col min="48" max="48" width="12" style="313" customWidth="1"/>
    <col min="49" max="49" width="9.140625" style="314" customWidth="1"/>
    <col min="50" max="50" width="9.140625" style="312" customWidth="1"/>
    <col min="51" max="52" width="9.140625" style="313" customWidth="1"/>
    <col min="53" max="53" width="9.140625" style="314" customWidth="1"/>
    <col min="54" max="54" width="9.140625" style="312" customWidth="1"/>
    <col min="55" max="56" width="9.140625" style="313" customWidth="1"/>
    <col min="57" max="57" width="9.140625" style="314" customWidth="1"/>
    <col min="58" max="58" width="9.140625" style="312" customWidth="1"/>
    <col min="59" max="59" width="9.140625" style="313" customWidth="1"/>
    <col min="60" max="60" width="10.5703125" style="313" customWidth="1"/>
    <col min="61" max="61" width="9.140625" style="314" customWidth="1"/>
    <col min="62" max="62" width="9.140625" style="312" customWidth="1"/>
    <col min="63" max="64" width="9.140625" style="313" customWidth="1"/>
    <col min="65" max="65" width="9.140625" style="314" customWidth="1"/>
    <col min="66" max="66" width="9.140625" style="312" customWidth="1"/>
    <col min="67" max="68" width="9.140625" style="313" customWidth="1"/>
    <col min="69" max="69" width="9.140625" style="314" customWidth="1"/>
    <col min="70" max="70" width="9.140625" style="312" customWidth="1"/>
    <col min="71" max="72" width="9.140625" style="313" customWidth="1"/>
    <col min="73" max="73" width="9.140625" style="314" customWidth="1"/>
    <col min="74" max="74" width="9.140625" style="312" customWidth="1"/>
    <col min="75" max="75" width="9.140625" style="313" customWidth="1"/>
    <col min="76" max="76" width="10.5703125" style="313" customWidth="1"/>
    <col min="77" max="77" width="9.140625" style="314" customWidth="1"/>
    <col min="78" max="78" width="9.140625" style="312" customWidth="1"/>
    <col min="79" max="80" width="9.140625" style="313" customWidth="1"/>
    <col min="81" max="81" width="9.140625" style="314" customWidth="1"/>
    <col min="82" max="82" width="9.140625" style="312" customWidth="1"/>
    <col min="83" max="84" width="9.140625" style="313" customWidth="1"/>
    <col min="85" max="85" width="9.140625" style="314" customWidth="1"/>
    <col min="86" max="86" width="9.140625" style="312" customWidth="1"/>
    <col min="87" max="88" width="9.140625" style="313" customWidth="1"/>
    <col min="89" max="89" width="9.140625" style="315" customWidth="1"/>
    <col min="90" max="90" width="9.140625" style="316" customWidth="1"/>
    <col min="91" max="91" width="9.140625" style="313" customWidth="1"/>
    <col min="92" max="92" width="10.5703125" style="313" customWidth="1"/>
    <col min="93" max="93" width="9.140625" style="314" customWidth="1"/>
    <col min="94" max="94" width="9.140625" style="312" customWidth="1"/>
    <col min="95" max="96" width="9.140625" style="313" customWidth="1"/>
    <col min="97" max="97" width="9.140625" style="314" customWidth="1"/>
    <col min="98" max="98" width="9.140625" style="312" customWidth="1"/>
    <col min="99" max="100" width="9.140625" style="313" customWidth="1"/>
    <col min="101" max="101" width="9.140625" style="314" customWidth="1"/>
    <col min="102" max="102" width="9.140625" style="312" customWidth="1"/>
    <col min="103" max="104" width="9.140625" style="313" customWidth="1"/>
    <col min="105" max="105" width="9.140625" style="314" customWidth="1"/>
    <col min="106" max="106" width="9.140625" style="312" customWidth="1"/>
    <col min="107" max="107" width="9.140625" style="313" customWidth="1"/>
    <col min="108" max="108" width="10.5703125" style="313" customWidth="1"/>
    <col min="109" max="109" width="9.140625" style="314" customWidth="1"/>
    <col min="110" max="110" width="9.140625" style="312" customWidth="1"/>
    <col min="111" max="112" width="9.140625" style="313" customWidth="1"/>
    <col min="113" max="113" width="9.140625" style="314" customWidth="1"/>
    <col min="114" max="114" width="9.140625" style="312" customWidth="1"/>
    <col min="115" max="116" width="9.140625" style="313" customWidth="1"/>
    <col min="117" max="117" width="9.140625" style="314" customWidth="1"/>
    <col min="118" max="118" width="9.140625" style="312" customWidth="1"/>
    <col min="119" max="120" width="9.140625" style="313" customWidth="1"/>
    <col min="121" max="121" width="9.140625" style="314" customWidth="1"/>
    <col min="122" max="122" width="9.140625" style="312" customWidth="1"/>
    <col min="123" max="123" width="9.140625" style="313" customWidth="1"/>
    <col min="124" max="124" width="10.5703125" style="313" customWidth="1"/>
    <col min="125" max="125" width="9.140625" style="314" customWidth="1"/>
    <col min="126" max="126" width="9.140625" style="312" customWidth="1"/>
    <col min="127" max="128" width="9.140625" style="313" customWidth="1"/>
    <col min="129" max="129" width="9.140625" style="314" customWidth="1"/>
    <col min="130" max="130" width="9.140625" style="312" customWidth="1"/>
    <col min="131" max="132" width="9.140625" style="313" customWidth="1"/>
    <col min="133" max="133" width="9.140625" style="314" customWidth="1"/>
    <col min="134" max="134" width="9.140625" style="312" customWidth="1"/>
    <col min="135" max="136" width="9.140625" style="313" customWidth="1"/>
    <col min="137" max="137" width="9.140625" style="314" customWidth="1"/>
    <col min="138" max="138" width="9.140625" style="312" customWidth="1"/>
    <col min="139" max="139" width="9.140625" style="313" customWidth="1"/>
    <col min="140" max="140" width="10.5703125" style="313" customWidth="1"/>
    <col min="141" max="141" width="9.140625" style="314" customWidth="1"/>
    <col min="142" max="142" width="9.140625" style="312" customWidth="1"/>
    <col min="143" max="144" width="9.140625" style="313" customWidth="1"/>
    <col min="145" max="145" width="9.140625" style="314" customWidth="1"/>
    <col min="146" max="146" width="9.140625" style="312" customWidth="1"/>
    <col min="147" max="148" width="9.140625" style="313" customWidth="1"/>
    <col min="149" max="149" width="9.140625" style="314" customWidth="1"/>
    <col min="150" max="150" width="9.140625" style="312" customWidth="1"/>
    <col min="151" max="152" width="9.140625" style="313" customWidth="1"/>
    <col min="153" max="153" width="9.140625" style="315" customWidth="1"/>
    <col min="154" max="154" width="9.140625" style="316" customWidth="1"/>
    <col min="155" max="155" width="9.140625" style="313" customWidth="1"/>
    <col min="156" max="156" width="10.5703125" style="313" customWidth="1"/>
    <col min="157" max="157" width="9.140625" style="314" customWidth="1"/>
    <col min="158" max="158" width="9.140625" style="312" customWidth="1"/>
    <col min="159" max="160" width="9.140625" style="313" customWidth="1"/>
    <col min="161" max="161" width="9.140625" style="314" customWidth="1"/>
    <col min="162" max="162" width="9.140625" style="312" customWidth="1"/>
    <col min="163" max="164" width="9.140625" style="313" customWidth="1"/>
    <col min="165" max="165" width="9.140625" style="314" customWidth="1"/>
    <col min="166" max="166" width="9.140625" style="312" customWidth="1"/>
    <col min="167" max="168" width="9.140625" style="313" customWidth="1"/>
    <col min="169" max="169" width="9.140625" style="314" customWidth="1"/>
    <col min="170" max="170" width="9.140625" style="312" customWidth="1"/>
    <col min="171" max="171" width="9.140625" style="313" customWidth="1"/>
    <col min="172" max="172" width="10.5703125" style="313" customWidth="1"/>
    <col min="173" max="173" width="9.140625" style="314" customWidth="1"/>
    <col min="174" max="174" width="9.140625" style="312" customWidth="1"/>
    <col min="175" max="176" width="9.140625" style="313" customWidth="1"/>
    <col min="177" max="177" width="9.140625" style="314" customWidth="1"/>
    <col min="178" max="178" width="9.140625" style="312" customWidth="1"/>
    <col min="179" max="180" width="9.140625" style="313" customWidth="1"/>
    <col min="181" max="181" width="9.140625" style="314" customWidth="1"/>
    <col min="182" max="182" width="9.140625" style="312" customWidth="1"/>
    <col min="183" max="184" width="9.140625" style="313" customWidth="1"/>
    <col min="185" max="185" width="9.140625" style="314" customWidth="1"/>
    <col min="186" max="186" width="9.140625" style="312" customWidth="1"/>
    <col min="187" max="187" width="9.140625" style="313" customWidth="1"/>
    <col min="188" max="188" width="10.5703125" style="313" customWidth="1"/>
    <col min="189" max="189" width="9.140625" style="314" customWidth="1"/>
    <col min="190" max="190" width="9.140625" style="312" customWidth="1"/>
    <col min="191" max="192" width="9.140625" style="313" customWidth="1"/>
    <col min="193" max="193" width="9.140625" style="314" customWidth="1"/>
    <col min="194" max="194" width="9.140625" style="312" customWidth="1"/>
    <col min="195" max="196" width="9.140625" style="313" customWidth="1"/>
    <col min="197" max="197" width="9.140625" style="314" customWidth="1"/>
    <col min="198" max="198" width="9.140625" style="312" customWidth="1"/>
    <col min="199" max="200" width="9.140625" style="313" customWidth="1"/>
    <col min="201" max="201" width="9.140625" style="314" customWidth="1"/>
    <col min="202" max="202" width="9.140625" style="312" customWidth="1"/>
    <col min="203" max="203" width="9.140625" style="313" customWidth="1"/>
    <col min="204" max="204" width="10.5703125" style="313" customWidth="1"/>
    <col min="205" max="205" width="9.140625" style="314" customWidth="1"/>
    <col min="206" max="206" width="9.140625" style="312" customWidth="1"/>
    <col min="207" max="208" width="9.140625" style="313" customWidth="1"/>
    <col min="209" max="209" width="9.140625" style="314" customWidth="1"/>
    <col min="210" max="210" width="9.140625" style="312" customWidth="1"/>
    <col min="211" max="212" width="9.140625" style="313" customWidth="1"/>
    <col min="213" max="213" width="9.140625" style="314" customWidth="1"/>
    <col min="214" max="214" width="9.140625" style="312" customWidth="1"/>
    <col min="215" max="216" width="9.140625" style="313" customWidth="1"/>
    <col min="217" max="217" width="9.140625" style="315" customWidth="1"/>
    <col min="218" max="218" width="9.140625" style="316"/>
    <col min="219" max="219" width="9.140625" style="313"/>
    <col min="220" max="220" width="10.5703125" style="313" bestFit="1" customWidth="1"/>
    <col min="221" max="221" width="9.140625" style="314"/>
    <col min="222" max="222" width="9.140625" style="312"/>
    <col min="223" max="224" width="9.140625" style="313"/>
    <col min="225" max="225" width="9.140625" style="314"/>
    <col min="226" max="226" width="9.140625" style="312"/>
    <col min="227" max="228" width="9.140625" style="313"/>
    <col min="229" max="229" width="9.140625" style="314"/>
    <col min="230" max="230" width="9.140625" style="312"/>
    <col min="231" max="232" width="9.140625" style="313"/>
    <col min="233" max="233" width="9.140625" style="314"/>
    <col min="234" max="234" width="9.140625" style="312"/>
    <col min="235" max="235" width="9.140625" style="313"/>
    <col min="236" max="236" width="10.5703125" style="313" bestFit="1" customWidth="1"/>
    <col min="237" max="237" width="9.140625" style="314"/>
    <col min="238" max="238" width="9.140625" style="312"/>
    <col min="239" max="240" width="9.140625" style="313"/>
    <col min="241" max="241" width="9.140625" style="314"/>
    <col min="242" max="242" width="9.140625" style="312"/>
    <col min="243" max="244" width="9.140625" style="313"/>
    <col min="245" max="245" width="9.140625" style="314"/>
    <col min="246" max="246" width="9.140625" style="312"/>
    <col min="247" max="248" width="9.140625" style="313"/>
    <col min="249" max="249" width="9.140625" style="314"/>
    <col min="250" max="250" width="9.140625" style="312"/>
    <col min="251" max="251" width="9.140625" style="313"/>
    <col min="252" max="252" width="10.5703125" style="313" bestFit="1" customWidth="1"/>
    <col min="253" max="253" width="9.140625" style="314"/>
    <col min="254" max="254" width="9.140625" style="312"/>
    <col min="255" max="256" width="9.140625" style="313"/>
    <col min="257" max="257" width="9.140625" style="314"/>
    <col min="258" max="258" width="9.140625" style="312"/>
    <col min="259" max="260" width="9.140625" style="313"/>
    <col min="261" max="261" width="9.140625" style="314"/>
    <col min="262" max="262" width="9.140625" style="312"/>
    <col min="263" max="264" width="9.140625" style="313"/>
    <col min="265" max="265" width="9.140625" style="314"/>
    <col min="266" max="266" width="9.140625" style="312"/>
    <col min="267" max="267" width="9.140625" style="313"/>
    <col min="268" max="268" width="10.5703125" style="313" bestFit="1" customWidth="1"/>
    <col min="269" max="269" width="9.140625" style="314"/>
    <col min="270" max="270" width="9.140625" style="312"/>
    <col min="271" max="272" width="9.140625" style="313"/>
    <col min="273" max="273" width="9.140625" style="314"/>
    <col min="274" max="274" width="9.140625" style="312"/>
    <col min="275" max="276" width="9.140625" style="313"/>
    <col min="277" max="277" width="9.140625" style="314"/>
    <col min="278" max="278" width="9.140625" style="312"/>
    <col min="279" max="280" width="9.140625" style="313"/>
    <col min="281" max="281" width="9.140625" style="314"/>
    <col min="282" max="282" width="2" style="268" bestFit="1" customWidth="1"/>
    <col min="283" max="283" width="13.5703125" style="268" bestFit="1" customWidth="1"/>
    <col min="284" max="16384" width="9.140625" style="268"/>
  </cols>
  <sheetData>
    <row r="1" spans="1:281">
      <c r="A1" s="1435">
        <f>K1</f>
        <v>0</v>
      </c>
      <c r="B1" s="1435"/>
      <c r="C1" s="1435"/>
      <c r="D1" s="263" t="e">
        <f>SMALL(M3:M18,1)</f>
        <v>#NUM!</v>
      </c>
      <c r="E1" s="264" t="s">
        <v>53</v>
      </c>
      <c r="F1" s="263" t="e">
        <f>LARGE(O3:O18,1)</f>
        <v>#NUM!</v>
      </c>
      <c r="G1" s="1436" t="str">
        <f>"["&amp;ROUND(LARGE(P3:P18,1),1)&amp;" شهور]"</f>
        <v>[0 شهور]</v>
      </c>
      <c r="H1" s="1436"/>
      <c r="I1" s="265"/>
      <c r="J1" s="266"/>
      <c r="K1" s="1437">
        <f>التوصية!D6</f>
        <v>0</v>
      </c>
      <c r="L1" s="1437"/>
      <c r="M1" s="1437"/>
      <c r="N1" s="1437"/>
      <c r="O1" s="1437"/>
      <c r="P1" s="1437"/>
      <c r="Q1" s="1437"/>
      <c r="R1" s="1437"/>
      <c r="S1" s="1437"/>
      <c r="T1" s="1437"/>
      <c r="U1" s="1437"/>
      <c r="V1" s="1437"/>
      <c r="W1" s="1437"/>
      <c r="X1" s="266"/>
      <c r="Y1" s="267" t="s">
        <v>209</v>
      </c>
      <c r="Z1" s="1438">
        <f>K1</f>
        <v>0</v>
      </c>
      <c r="AA1" s="1418"/>
      <c r="AB1" s="1418"/>
      <c r="AC1" s="1418"/>
      <c r="AD1" s="1418"/>
      <c r="AE1" s="1418"/>
      <c r="AF1" s="1418"/>
      <c r="AG1" s="1418"/>
      <c r="AH1" s="1418"/>
      <c r="AI1" s="1418"/>
      <c r="AJ1" s="1418"/>
      <c r="AK1" s="1418"/>
      <c r="AL1" s="1418"/>
      <c r="AM1" s="1418"/>
      <c r="AN1" s="1418"/>
      <c r="AO1" s="1418"/>
      <c r="AP1" s="1418"/>
      <c r="AQ1" s="1418"/>
      <c r="AR1" s="1418"/>
      <c r="AS1" s="1418"/>
      <c r="AT1" s="1418"/>
      <c r="AU1" s="1418"/>
      <c r="AV1" s="1418"/>
      <c r="AW1" s="1418"/>
      <c r="AX1" s="1418"/>
      <c r="AY1" s="1418"/>
      <c r="AZ1" s="1418"/>
      <c r="BA1" s="1418"/>
      <c r="BB1" s="1418"/>
      <c r="BC1" s="1418"/>
      <c r="BD1" s="1418"/>
      <c r="BE1" s="1418"/>
      <c r="BF1" s="1418"/>
      <c r="BG1" s="1418"/>
      <c r="BH1" s="1418"/>
      <c r="BI1" s="1418"/>
      <c r="BJ1" s="1418"/>
      <c r="BK1" s="1418"/>
      <c r="BL1" s="1418"/>
      <c r="BM1" s="1418"/>
      <c r="BN1" s="1418"/>
      <c r="BO1" s="1418"/>
      <c r="BP1" s="1418"/>
      <c r="BQ1" s="1418"/>
      <c r="BR1" s="1418"/>
      <c r="BS1" s="1418"/>
      <c r="BT1" s="1418"/>
      <c r="BU1" s="1418"/>
      <c r="BV1" s="1418"/>
      <c r="BW1" s="1418"/>
      <c r="BX1" s="1418"/>
      <c r="BY1" s="1418"/>
      <c r="BZ1" s="1418"/>
      <c r="CA1" s="1418"/>
      <c r="CB1" s="1418"/>
      <c r="CC1" s="1418"/>
      <c r="CD1" s="1418"/>
      <c r="CE1" s="1418"/>
      <c r="CF1" s="1418"/>
      <c r="CG1" s="1418"/>
      <c r="CH1" s="1418"/>
      <c r="CI1" s="1418"/>
      <c r="CJ1" s="1418"/>
      <c r="CK1" s="1418"/>
      <c r="CL1" s="1417">
        <f>K21</f>
        <v>0</v>
      </c>
      <c r="CM1" s="1418"/>
      <c r="CN1" s="1418"/>
      <c r="CO1" s="1418"/>
      <c r="CP1" s="1418"/>
      <c r="CQ1" s="1418"/>
      <c r="CR1" s="1418"/>
      <c r="CS1" s="1418"/>
      <c r="CT1" s="1418"/>
      <c r="CU1" s="1418"/>
      <c r="CV1" s="1418"/>
      <c r="CW1" s="1418"/>
      <c r="CX1" s="1418"/>
      <c r="CY1" s="1418"/>
      <c r="CZ1" s="1418"/>
      <c r="DA1" s="1418"/>
      <c r="DB1" s="1418"/>
      <c r="DC1" s="1418"/>
      <c r="DD1" s="1418"/>
      <c r="DE1" s="1418"/>
      <c r="DF1" s="1418"/>
      <c r="DG1" s="1418"/>
      <c r="DH1" s="1418"/>
      <c r="DI1" s="1418"/>
      <c r="DJ1" s="1418"/>
      <c r="DK1" s="1418"/>
      <c r="DL1" s="1418"/>
      <c r="DM1" s="1418"/>
      <c r="DN1" s="1418"/>
      <c r="DO1" s="1418"/>
      <c r="DP1" s="1418"/>
      <c r="DQ1" s="1418"/>
      <c r="DR1" s="1418"/>
      <c r="DS1" s="1418"/>
      <c r="DT1" s="1418"/>
      <c r="DU1" s="1418"/>
      <c r="DV1" s="1418"/>
      <c r="DW1" s="1418"/>
      <c r="DX1" s="1418"/>
      <c r="DY1" s="1418"/>
      <c r="DZ1" s="1418"/>
      <c r="EA1" s="1418"/>
      <c r="EB1" s="1418"/>
      <c r="EC1" s="1418"/>
      <c r="ED1" s="1418"/>
      <c r="EE1" s="1418"/>
      <c r="EF1" s="1418"/>
      <c r="EG1" s="1418"/>
      <c r="EH1" s="1418"/>
      <c r="EI1" s="1418"/>
      <c r="EJ1" s="1418"/>
      <c r="EK1" s="1418"/>
      <c r="EL1" s="1418"/>
      <c r="EM1" s="1418"/>
      <c r="EN1" s="1418"/>
      <c r="EO1" s="1418"/>
      <c r="EP1" s="1418"/>
      <c r="EQ1" s="1418"/>
      <c r="ER1" s="1418"/>
      <c r="ES1" s="1418"/>
      <c r="ET1" s="1418"/>
      <c r="EU1" s="1418"/>
      <c r="EV1" s="1418"/>
      <c r="EW1" s="1418"/>
      <c r="EX1" s="1417">
        <f>K41</f>
        <v>0</v>
      </c>
      <c r="EY1" s="1418"/>
      <c r="EZ1" s="1418"/>
      <c r="FA1" s="1418"/>
      <c r="FB1" s="1418"/>
      <c r="FC1" s="1418"/>
      <c r="FD1" s="1418"/>
      <c r="FE1" s="1418"/>
      <c r="FF1" s="1418"/>
      <c r="FG1" s="1418"/>
      <c r="FH1" s="1418"/>
      <c r="FI1" s="1418"/>
      <c r="FJ1" s="1418"/>
      <c r="FK1" s="1418"/>
      <c r="FL1" s="1418"/>
      <c r="FM1" s="1418"/>
      <c r="FN1" s="1418"/>
      <c r="FO1" s="1418"/>
      <c r="FP1" s="1418"/>
      <c r="FQ1" s="1418"/>
      <c r="FR1" s="1418"/>
      <c r="FS1" s="1418"/>
      <c r="FT1" s="1418"/>
      <c r="FU1" s="1418"/>
      <c r="FV1" s="1418"/>
      <c r="FW1" s="1418"/>
      <c r="FX1" s="1418"/>
      <c r="FY1" s="1418"/>
      <c r="FZ1" s="1418"/>
      <c r="GA1" s="1418"/>
      <c r="GB1" s="1418"/>
      <c r="GC1" s="1418"/>
      <c r="GD1" s="1418"/>
      <c r="GE1" s="1418"/>
      <c r="GF1" s="1418"/>
      <c r="GG1" s="1418"/>
      <c r="GH1" s="1418"/>
      <c r="GI1" s="1418"/>
      <c r="GJ1" s="1418"/>
      <c r="GK1" s="1418"/>
      <c r="GL1" s="1418"/>
      <c r="GM1" s="1418"/>
      <c r="GN1" s="1418"/>
      <c r="GO1" s="1418"/>
      <c r="GP1" s="1418"/>
      <c r="GQ1" s="1418"/>
      <c r="GR1" s="1418"/>
      <c r="GS1" s="1418"/>
      <c r="GT1" s="1418"/>
      <c r="GU1" s="1418"/>
      <c r="GV1" s="1418"/>
      <c r="GW1" s="1418"/>
      <c r="GX1" s="1418"/>
      <c r="GY1" s="1418"/>
      <c r="GZ1" s="1418"/>
      <c r="HA1" s="1418"/>
      <c r="HB1" s="1418"/>
      <c r="HC1" s="1418"/>
      <c r="HD1" s="1418"/>
      <c r="HE1" s="1418"/>
      <c r="HF1" s="1418"/>
      <c r="HG1" s="1418"/>
      <c r="HH1" s="1418"/>
      <c r="HI1" s="1418"/>
      <c r="HJ1" s="1417">
        <f>K61</f>
        <v>0</v>
      </c>
      <c r="HK1" s="1418"/>
      <c r="HL1" s="1418"/>
      <c r="HM1" s="1418"/>
      <c r="HN1" s="1418"/>
      <c r="HO1" s="1418"/>
      <c r="HP1" s="1418"/>
      <c r="HQ1" s="1418"/>
      <c r="HR1" s="1418"/>
      <c r="HS1" s="1418"/>
      <c r="HT1" s="1418"/>
      <c r="HU1" s="1418"/>
      <c r="HV1" s="1418"/>
      <c r="HW1" s="1418"/>
      <c r="HX1" s="1418"/>
      <c r="HY1" s="1418"/>
      <c r="HZ1" s="1418"/>
      <c r="IA1" s="1418"/>
      <c r="IB1" s="1418"/>
      <c r="IC1" s="1418"/>
      <c r="ID1" s="1418"/>
      <c r="IE1" s="1418"/>
      <c r="IF1" s="1418"/>
      <c r="IG1" s="1418"/>
      <c r="IH1" s="1418"/>
      <c r="II1" s="1418"/>
      <c r="IJ1" s="1418"/>
      <c r="IK1" s="1418"/>
      <c r="IL1" s="1418"/>
      <c r="IM1" s="1418"/>
      <c r="IN1" s="1418"/>
      <c r="IO1" s="1418"/>
      <c r="IP1" s="1418"/>
      <c r="IQ1" s="1418"/>
      <c r="IR1" s="1418"/>
      <c r="IS1" s="1418"/>
      <c r="IT1" s="1418"/>
      <c r="IU1" s="1418"/>
      <c r="IV1" s="1418"/>
      <c r="IW1" s="1418"/>
      <c r="IX1" s="1418"/>
      <c r="IY1" s="1418"/>
      <c r="IZ1" s="1418"/>
      <c r="JA1" s="1418"/>
      <c r="JB1" s="1418"/>
      <c r="JC1" s="1418"/>
      <c r="JD1" s="1418"/>
      <c r="JE1" s="1418"/>
      <c r="JF1" s="1418"/>
      <c r="JG1" s="1418"/>
      <c r="JH1" s="1418"/>
      <c r="JI1" s="1418"/>
      <c r="JJ1" s="1418"/>
      <c r="JK1" s="1418"/>
      <c r="JL1" s="1418"/>
      <c r="JM1" s="1418"/>
      <c r="JN1" s="1418"/>
      <c r="JO1" s="1418"/>
      <c r="JP1" s="1418"/>
      <c r="JQ1" s="1418"/>
      <c r="JR1" s="1418"/>
      <c r="JS1" s="1418"/>
      <c r="JT1" s="1418"/>
      <c r="JU1" s="1419"/>
    </row>
    <row r="2" spans="1:281" ht="30" customHeight="1">
      <c r="A2" s="269" t="s">
        <v>228</v>
      </c>
      <c r="B2" s="269" t="s">
        <v>229</v>
      </c>
      <c r="C2" s="269" t="s">
        <v>72</v>
      </c>
      <c r="D2" s="269" t="s">
        <v>230</v>
      </c>
      <c r="E2" s="269" t="s">
        <v>16</v>
      </c>
      <c r="F2" s="269" t="s">
        <v>231</v>
      </c>
      <c r="G2" s="269" t="s">
        <v>232</v>
      </c>
      <c r="H2" s="269" t="s">
        <v>233</v>
      </c>
      <c r="I2" s="270"/>
      <c r="J2" s="266"/>
      <c r="K2" s="269" t="s">
        <v>154</v>
      </c>
      <c r="L2" s="269" t="s">
        <v>155</v>
      </c>
      <c r="M2" s="1420" t="s">
        <v>1538</v>
      </c>
      <c r="N2" s="1420"/>
      <c r="O2" s="1420"/>
      <c r="P2" s="269" t="s">
        <v>1539</v>
      </c>
      <c r="Q2" s="269" t="s">
        <v>1540</v>
      </c>
      <c r="R2" s="269" t="s">
        <v>180</v>
      </c>
      <c r="S2" s="269" t="s">
        <v>1541</v>
      </c>
      <c r="T2" s="269" t="s">
        <v>181</v>
      </c>
      <c r="U2" s="269" t="s">
        <v>184</v>
      </c>
      <c r="V2" s="269" t="s">
        <v>182</v>
      </c>
      <c r="W2" s="269" t="s">
        <v>183</v>
      </c>
      <c r="X2" s="266"/>
      <c r="Y2" s="271" t="s">
        <v>1542</v>
      </c>
      <c r="Z2" s="1421" t="s">
        <v>546</v>
      </c>
      <c r="AA2" s="1422"/>
      <c r="AB2" s="1422"/>
      <c r="AC2" s="1422"/>
      <c r="AD2" s="1422"/>
      <c r="AE2" s="1422"/>
      <c r="AF2" s="1422"/>
      <c r="AG2" s="1422"/>
      <c r="AH2" s="1422"/>
      <c r="AI2" s="1422"/>
      <c r="AJ2" s="1422"/>
      <c r="AK2" s="1422"/>
      <c r="AL2" s="1422"/>
      <c r="AM2" s="1422"/>
      <c r="AN2" s="1422"/>
      <c r="AO2" s="1423"/>
      <c r="AP2" s="1424" t="s">
        <v>547</v>
      </c>
      <c r="AQ2" s="1425"/>
      <c r="AR2" s="1425"/>
      <c r="AS2" s="1425"/>
      <c r="AT2" s="1425"/>
      <c r="AU2" s="1425"/>
      <c r="AV2" s="1425"/>
      <c r="AW2" s="1425"/>
      <c r="AX2" s="1425"/>
      <c r="AY2" s="1425"/>
      <c r="AZ2" s="1425"/>
      <c r="BA2" s="1425"/>
      <c r="BB2" s="1425"/>
      <c r="BC2" s="1425"/>
      <c r="BD2" s="1425"/>
      <c r="BE2" s="1426"/>
      <c r="BF2" s="1427" t="s">
        <v>548</v>
      </c>
      <c r="BG2" s="1428"/>
      <c r="BH2" s="1428"/>
      <c r="BI2" s="1428"/>
      <c r="BJ2" s="1428"/>
      <c r="BK2" s="1428"/>
      <c r="BL2" s="1428"/>
      <c r="BM2" s="1428"/>
      <c r="BN2" s="1428"/>
      <c r="BO2" s="1428"/>
      <c r="BP2" s="1428"/>
      <c r="BQ2" s="1428"/>
      <c r="BR2" s="1428"/>
      <c r="BS2" s="1428"/>
      <c r="BT2" s="1428"/>
      <c r="BU2" s="1429"/>
      <c r="BV2" s="1430" t="s">
        <v>549</v>
      </c>
      <c r="BW2" s="1431"/>
      <c r="BX2" s="1431"/>
      <c r="BY2" s="1431"/>
      <c r="BZ2" s="1431"/>
      <c r="CA2" s="1431"/>
      <c r="CB2" s="1431"/>
      <c r="CC2" s="1431"/>
      <c r="CD2" s="1431"/>
      <c r="CE2" s="1431"/>
      <c r="CF2" s="1431"/>
      <c r="CG2" s="1431"/>
      <c r="CH2" s="1431"/>
      <c r="CI2" s="1431"/>
      <c r="CJ2" s="1431"/>
      <c r="CK2" s="1431"/>
      <c r="CL2" s="1421" t="s">
        <v>546</v>
      </c>
      <c r="CM2" s="1422"/>
      <c r="CN2" s="1422"/>
      <c r="CO2" s="1422"/>
      <c r="CP2" s="1422"/>
      <c r="CQ2" s="1422"/>
      <c r="CR2" s="1422"/>
      <c r="CS2" s="1422"/>
      <c r="CT2" s="1422"/>
      <c r="CU2" s="1422"/>
      <c r="CV2" s="1422"/>
      <c r="CW2" s="1422"/>
      <c r="CX2" s="1422"/>
      <c r="CY2" s="1422"/>
      <c r="CZ2" s="1422"/>
      <c r="DA2" s="1423"/>
      <c r="DB2" s="1424" t="s">
        <v>547</v>
      </c>
      <c r="DC2" s="1425"/>
      <c r="DD2" s="1425"/>
      <c r="DE2" s="1425"/>
      <c r="DF2" s="1425"/>
      <c r="DG2" s="1425"/>
      <c r="DH2" s="1425"/>
      <c r="DI2" s="1425"/>
      <c r="DJ2" s="1425"/>
      <c r="DK2" s="1425"/>
      <c r="DL2" s="1425"/>
      <c r="DM2" s="1425"/>
      <c r="DN2" s="1425"/>
      <c r="DO2" s="1425"/>
      <c r="DP2" s="1425"/>
      <c r="DQ2" s="1426"/>
      <c r="DR2" s="1427" t="s">
        <v>548</v>
      </c>
      <c r="DS2" s="1428"/>
      <c r="DT2" s="1428"/>
      <c r="DU2" s="1428"/>
      <c r="DV2" s="1428"/>
      <c r="DW2" s="1428"/>
      <c r="DX2" s="1428"/>
      <c r="DY2" s="1428"/>
      <c r="DZ2" s="1428"/>
      <c r="EA2" s="1428"/>
      <c r="EB2" s="1428"/>
      <c r="EC2" s="1428"/>
      <c r="ED2" s="1428"/>
      <c r="EE2" s="1428"/>
      <c r="EF2" s="1428"/>
      <c r="EG2" s="1429"/>
      <c r="EH2" s="1430" t="s">
        <v>549</v>
      </c>
      <c r="EI2" s="1431"/>
      <c r="EJ2" s="1431"/>
      <c r="EK2" s="1431"/>
      <c r="EL2" s="1431"/>
      <c r="EM2" s="1431"/>
      <c r="EN2" s="1431"/>
      <c r="EO2" s="1431"/>
      <c r="EP2" s="1431"/>
      <c r="EQ2" s="1431"/>
      <c r="ER2" s="1431"/>
      <c r="ES2" s="1431"/>
      <c r="ET2" s="1431"/>
      <c r="EU2" s="1431"/>
      <c r="EV2" s="1431"/>
      <c r="EW2" s="1431"/>
      <c r="EX2" s="1421" t="s">
        <v>546</v>
      </c>
      <c r="EY2" s="1422"/>
      <c r="EZ2" s="1422"/>
      <c r="FA2" s="1422"/>
      <c r="FB2" s="1422"/>
      <c r="FC2" s="1422"/>
      <c r="FD2" s="1422"/>
      <c r="FE2" s="1422"/>
      <c r="FF2" s="1422"/>
      <c r="FG2" s="1422"/>
      <c r="FH2" s="1422"/>
      <c r="FI2" s="1422"/>
      <c r="FJ2" s="1422"/>
      <c r="FK2" s="1422"/>
      <c r="FL2" s="1422"/>
      <c r="FM2" s="1423"/>
      <c r="FN2" s="1424" t="s">
        <v>547</v>
      </c>
      <c r="FO2" s="1425"/>
      <c r="FP2" s="1425"/>
      <c r="FQ2" s="1425"/>
      <c r="FR2" s="1425"/>
      <c r="FS2" s="1425"/>
      <c r="FT2" s="1425"/>
      <c r="FU2" s="1425"/>
      <c r="FV2" s="1425"/>
      <c r="FW2" s="1425"/>
      <c r="FX2" s="1425"/>
      <c r="FY2" s="1425"/>
      <c r="FZ2" s="1425"/>
      <c r="GA2" s="1425"/>
      <c r="GB2" s="1425"/>
      <c r="GC2" s="1426"/>
      <c r="GD2" s="1427" t="s">
        <v>548</v>
      </c>
      <c r="GE2" s="1428"/>
      <c r="GF2" s="1428"/>
      <c r="GG2" s="1428"/>
      <c r="GH2" s="1428"/>
      <c r="GI2" s="1428"/>
      <c r="GJ2" s="1428"/>
      <c r="GK2" s="1428"/>
      <c r="GL2" s="1428"/>
      <c r="GM2" s="1428"/>
      <c r="GN2" s="1428"/>
      <c r="GO2" s="1428"/>
      <c r="GP2" s="1428"/>
      <c r="GQ2" s="1428"/>
      <c r="GR2" s="1428"/>
      <c r="GS2" s="1429"/>
      <c r="GT2" s="1430" t="s">
        <v>549</v>
      </c>
      <c r="GU2" s="1431"/>
      <c r="GV2" s="1431"/>
      <c r="GW2" s="1431"/>
      <c r="GX2" s="1431"/>
      <c r="GY2" s="1431"/>
      <c r="GZ2" s="1431"/>
      <c r="HA2" s="1431"/>
      <c r="HB2" s="1431"/>
      <c r="HC2" s="1431"/>
      <c r="HD2" s="1431"/>
      <c r="HE2" s="1431"/>
      <c r="HF2" s="1431"/>
      <c r="HG2" s="1431"/>
      <c r="HH2" s="1431"/>
      <c r="HI2" s="1431"/>
      <c r="HJ2" s="1421" t="s">
        <v>546</v>
      </c>
      <c r="HK2" s="1422"/>
      <c r="HL2" s="1422"/>
      <c r="HM2" s="1422"/>
      <c r="HN2" s="1422"/>
      <c r="HO2" s="1422"/>
      <c r="HP2" s="1422"/>
      <c r="HQ2" s="1422"/>
      <c r="HR2" s="1422"/>
      <c r="HS2" s="1422"/>
      <c r="HT2" s="1422"/>
      <c r="HU2" s="1422"/>
      <c r="HV2" s="1422"/>
      <c r="HW2" s="1422"/>
      <c r="HX2" s="1422"/>
      <c r="HY2" s="1423"/>
      <c r="HZ2" s="1424" t="s">
        <v>547</v>
      </c>
      <c r="IA2" s="1425"/>
      <c r="IB2" s="1425"/>
      <c r="IC2" s="1425"/>
      <c r="ID2" s="1425"/>
      <c r="IE2" s="1425"/>
      <c r="IF2" s="1425"/>
      <c r="IG2" s="1425"/>
      <c r="IH2" s="1425"/>
      <c r="II2" s="1425"/>
      <c r="IJ2" s="1425"/>
      <c r="IK2" s="1425"/>
      <c r="IL2" s="1425"/>
      <c r="IM2" s="1425"/>
      <c r="IN2" s="1425"/>
      <c r="IO2" s="1426"/>
      <c r="IP2" s="1427" t="s">
        <v>548</v>
      </c>
      <c r="IQ2" s="1428"/>
      <c r="IR2" s="1428"/>
      <c r="IS2" s="1428"/>
      <c r="IT2" s="1428"/>
      <c r="IU2" s="1428"/>
      <c r="IV2" s="1428"/>
      <c r="IW2" s="1428"/>
      <c r="IX2" s="1428"/>
      <c r="IY2" s="1428"/>
      <c r="IZ2" s="1428"/>
      <c r="JA2" s="1428"/>
      <c r="JB2" s="1428"/>
      <c r="JC2" s="1428"/>
      <c r="JD2" s="1428"/>
      <c r="JE2" s="1429"/>
      <c r="JF2" s="1430" t="s">
        <v>549</v>
      </c>
      <c r="JG2" s="1431"/>
      <c r="JH2" s="1431"/>
      <c r="JI2" s="1431"/>
      <c r="JJ2" s="1431"/>
      <c r="JK2" s="1431"/>
      <c r="JL2" s="1431"/>
      <c r="JM2" s="1431"/>
      <c r="JN2" s="1431"/>
      <c r="JO2" s="1431"/>
      <c r="JP2" s="1431"/>
      <c r="JQ2" s="1431"/>
      <c r="JR2" s="1431"/>
      <c r="JS2" s="1431"/>
      <c r="JT2" s="1431"/>
      <c r="JU2" s="1431"/>
    </row>
    <row r="3" spans="1:281">
      <c r="A3" s="272">
        <f>K3</f>
        <v>0</v>
      </c>
      <c r="B3" s="273">
        <f t="shared" ref="B3:H3" si="0">(Q3*jodrate)+(Q4*eurrate)+(Q5/usdrate)+Q6</f>
        <v>0</v>
      </c>
      <c r="C3" s="274">
        <f t="shared" si="0"/>
        <v>0</v>
      </c>
      <c r="D3" s="274">
        <f t="shared" si="0"/>
        <v>0</v>
      </c>
      <c r="E3" s="274">
        <f t="shared" si="0"/>
        <v>0</v>
      </c>
      <c r="F3" s="274">
        <f t="shared" si="0"/>
        <v>0</v>
      </c>
      <c r="G3" s="274">
        <f t="shared" si="0"/>
        <v>0</v>
      </c>
      <c r="H3" s="274">
        <f t="shared" si="0"/>
        <v>0</v>
      </c>
      <c r="I3" s="275"/>
      <c r="J3" s="266"/>
      <c r="K3" s="1444"/>
      <c r="L3" s="276" t="s">
        <v>28</v>
      </c>
      <c r="M3" s="277"/>
      <c r="N3" s="278" t="s">
        <v>53</v>
      </c>
      <c r="O3" s="277"/>
      <c r="P3" s="279">
        <f>(O3-M3)/30</f>
        <v>0</v>
      </c>
      <c r="Q3" s="280">
        <f>BF5</f>
        <v>0</v>
      </c>
      <c r="R3" s="280">
        <f>Z5-AP5-Q3-U3</f>
        <v>0</v>
      </c>
      <c r="S3" s="280">
        <f t="shared" ref="S3:S18" si="1">IF(P3=0,0,R3/P3)</f>
        <v>0</v>
      </c>
      <c r="T3" s="280">
        <f>IF(V3+R3-W3&lt;0,0,V3+R3-W3)</f>
        <v>0</v>
      </c>
      <c r="U3" s="280">
        <f>BV5</f>
        <v>0</v>
      </c>
      <c r="V3" s="281"/>
      <c r="W3" s="281"/>
      <c r="X3" s="266"/>
      <c r="Y3" s="271" t="s">
        <v>154</v>
      </c>
      <c r="Z3" s="1432">
        <f>K3</f>
        <v>0</v>
      </c>
      <c r="AA3" s="1433"/>
      <c r="AB3" s="1433"/>
      <c r="AC3" s="1434"/>
      <c r="AD3" s="1432">
        <f>K7</f>
        <v>0</v>
      </c>
      <c r="AE3" s="1433"/>
      <c r="AF3" s="1433"/>
      <c r="AG3" s="1434"/>
      <c r="AH3" s="1432">
        <f>K11</f>
        <v>0</v>
      </c>
      <c r="AI3" s="1433"/>
      <c r="AJ3" s="1433"/>
      <c r="AK3" s="1434"/>
      <c r="AL3" s="1432">
        <f>K15</f>
        <v>0</v>
      </c>
      <c r="AM3" s="1433"/>
      <c r="AN3" s="1433"/>
      <c r="AO3" s="1434"/>
      <c r="AP3" s="1432">
        <f>Z3</f>
        <v>0</v>
      </c>
      <c r="AQ3" s="1433"/>
      <c r="AR3" s="1433"/>
      <c r="AS3" s="1434"/>
      <c r="AT3" s="1432">
        <f>AD3</f>
        <v>0</v>
      </c>
      <c r="AU3" s="1433"/>
      <c r="AV3" s="1433"/>
      <c r="AW3" s="1434"/>
      <c r="AX3" s="1432">
        <f>AH3</f>
        <v>0</v>
      </c>
      <c r="AY3" s="1433"/>
      <c r="AZ3" s="1433"/>
      <c r="BA3" s="1434"/>
      <c r="BB3" s="1432">
        <f>AL3</f>
        <v>0</v>
      </c>
      <c r="BC3" s="1433"/>
      <c r="BD3" s="1433"/>
      <c r="BE3" s="1434"/>
      <c r="BF3" s="1432">
        <f>AP3</f>
        <v>0</v>
      </c>
      <c r="BG3" s="1433"/>
      <c r="BH3" s="1433"/>
      <c r="BI3" s="1434"/>
      <c r="BJ3" s="1432">
        <f>AT3</f>
        <v>0</v>
      </c>
      <c r="BK3" s="1433"/>
      <c r="BL3" s="1433"/>
      <c r="BM3" s="1434"/>
      <c r="BN3" s="1432">
        <f>AX3</f>
        <v>0</v>
      </c>
      <c r="BO3" s="1433"/>
      <c r="BP3" s="1433"/>
      <c r="BQ3" s="1434"/>
      <c r="BR3" s="1432">
        <f>BB3</f>
        <v>0</v>
      </c>
      <c r="BS3" s="1433"/>
      <c r="BT3" s="1433"/>
      <c r="BU3" s="1434"/>
      <c r="BV3" s="1432">
        <f>BF3</f>
        <v>0</v>
      </c>
      <c r="BW3" s="1433"/>
      <c r="BX3" s="1433"/>
      <c r="BY3" s="1434"/>
      <c r="BZ3" s="1432">
        <f>BJ3</f>
        <v>0</v>
      </c>
      <c r="CA3" s="1433"/>
      <c r="CB3" s="1433"/>
      <c r="CC3" s="1434"/>
      <c r="CD3" s="1432">
        <f>BN3</f>
        <v>0</v>
      </c>
      <c r="CE3" s="1433"/>
      <c r="CF3" s="1433"/>
      <c r="CG3" s="1434"/>
      <c r="CH3" s="1432">
        <f>BR3</f>
        <v>0</v>
      </c>
      <c r="CI3" s="1433"/>
      <c r="CJ3" s="1433"/>
      <c r="CK3" s="1449"/>
      <c r="CL3" s="1450">
        <f>K23</f>
        <v>0</v>
      </c>
      <c r="CM3" s="1433"/>
      <c r="CN3" s="1433"/>
      <c r="CO3" s="1434"/>
      <c r="CP3" s="1432">
        <f>K27</f>
        <v>0</v>
      </c>
      <c r="CQ3" s="1433"/>
      <c r="CR3" s="1433"/>
      <c r="CS3" s="1434"/>
      <c r="CT3" s="1432">
        <f>K31</f>
        <v>0</v>
      </c>
      <c r="CU3" s="1433"/>
      <c r="CV3" s="1433"/>
      <c r="CW3" s="1434"/>
      <c r="CX3" s="1432">
        <f>K35</f>
        <v>0</v>
      </c>
      <c r="CY3" s="1433"/>
      <c r="CZ3" s="1433"/>
      <c r="DA3" s="1434"/>
      <c r="DB3" s="1432">
        <f>CL3</f>
        <v>0</v>
      </c>
      <c r="DC3" s="1433"/>
      <c r="DD3" s="1433"/>
      <c r="DE3" s="1434"/>
      <c r="DF3" s="1432">
        <f>CP3</f>
        <v>0</v>
      </c>
      <c r="DG3" s="1433"/>
      <c r="DH3" s="1433"/>
      <c r="DI3" s="1434"/>
      <c r="DJ3" s="1432">
        <f>CT3</f>
        <v>0</v>
      </c>
      <c r="DK3" s="1433"/>
      <c r="DL3" s="1433"/>
      <c r="DM3" s="1434"/>
      <c r="DN3" s="1432">
        <f>CX3</f>
        <v>0</v>
      </c>
      <c r="DO3" s="1433"/>
      <c r="DP3" s="1433"/>
      <c r="DQ3" s="1434"/>
      <c r="DR3" s="1432">
        <f>DB3</f>
        <v>0</v>
      </c>
      <c r="DS3" s="1433"/>
      <c r="DT3" s="1433"/>
      <c r="DU3" s="1434"/>
      <c r="DV3" s="1432">
        <f>DF3</f>
        <v>0</v>
      </c>
      <c r="DW3" s="1433"/>
      <c r="DX3" s="1433"/>
      <c r="DY3" s="1434"/>
      <c r="DZ3" s="1432">
        <f>DJ3</f>
        <v>0</v>
      </c>
      <c r="EA3" s="1433"/>
      <c r="EB3" s="1433"/>
      <c r="EC3" s="1434"/>
      <c r="ED3" s="1432">
        <f>DN3</f>
        <v>0</v>
      </c>
      <c r="EE3" s="1433"/>
      <c r="EF3" s="1433"/>
      <c r="EG3" s="1434"/>
      <c r="EH3" s="1432">
        <f>DR3</f>
        <v>0</v>
      </c>
      <c r="EI3" s="1433"/>
      <c r="EJ3" s="1433"/>
      <c r="EK3" s="1434"/>
      <c r="EL3" s="1432">
        <f>DV3</f>
        <v>0</v>
      </c>
      <c r="EM3" s="1433"/>
      <c r="EN3" s="1433"/>
      <c r="EO3" s="1434"/>
      <c r="EP3" s="1432">
        <f>DZ3</f>
        <v>0</v>
      </c>
      <c r="EQ3" s="1433"/>
      <c r="ER3" s="1433"/>
      <c r="ES3" s="1434"/>
      <c r="ET3" s="1432">
        <f>ED3</f>
        <v>0</v>
      </c>
      <c r="EU3" s="1433"/>
      <c r="EV3" s="1433"/>
      <c r="EW3" s="1449"/>
      <c r="EX3" s="1450">
        <f>K43</f>
        <v>0</v>
      </c>
      <c r="EY3" s="1433"/>
      <c r="EZ3" s="1433"/>
      <c r="FA3" s="1434"/>
      <c r="FB3" s="1432">
        <f>K47</f>
        <v>0</v>
      </c>
      <c r="FC3" s="1433"/>
      <c r="FD3" s="1433"/>
      <c r="FE3" s="1434"/>
      <c r="FF3" s="1432">
        <f>K51</f>
        <v>0</v>
      </c>
      <c r="FG3" s="1433"/>
      <c r="FH3" s="1433"/>
      <c r="FI3" s="1434"/>
      <c r="FJ3" s="1432">
        <f>K55</f>
        <v>0</v>
      </c>
      <c r="FK3" s="1433"/>
      <c r="FL3" s="1433"/>
      <c r="FM3" s="1434"/>
      <c r="FN3" s="1432">
        <f>EX3</f>
        <v>0</v>
      </c>
      <c r="FO3" s="1433"/>
      <c r="FP3" s="1433"/>
      <c r="FQ3" s="1434"/>
      <c r="FR3" s="1432">
        <f>FB3</f>
        <v>0</v>
      </c>
      <c r="FS3" s="1433"/>
      <c r="FT3" s="1433"/>
      <c r="FU3" s="1434"/>
      <c r="FV3" s="1432">
        <f>FF3</f>
        <v>0</v>
      </c>
      <c r="FW3" s="1433"/>
      <c r="FX3" s="1433"/>
      <c r="FY3" s="1434"/>
      <c r="FZ3" s="1432">
        <f>FJ3</f>
        <v>0</v>
      </c>
      <c r="GA3" s="1433"/>
      <c r="GB3" s="1433"/>
      <c r="GC3" s="1434"/>
      <c r="GD3" s="1432">
        <f>FN3</f>
        <v>0</v>
      </c>
      <c r="GE3" s="1433"/>
      <c r="GF3" s="1433"/>
      <c r="GG3" s="1434"/>
      <c r="GH3" s="1432">
        <f>FR3</f>
        <v>0</v>
      </c>
      <c r="GI3" s="1433"/>
      <c r="GJ3" s="1433"/>
      <c r="GK3" s="1434"/>
      <c r="GL3" s="1432">
        <f>FV3</f>
        <v>0</v>
      </c>
      <c r="GM3" s="1433"/>
      <c r="GN3" s="1433"/>
      <c r="GO3" s="1434"/>
      <c r="GP3" s="1432">
        <f>FZ3</f>
        <v>0</v>
      </c>
      <c r="GQ3" s="1433"/>
      <c r="GR3" s="1433"/>
      <c r="GS3" s="1434"/>
      <c r="GT3" s="1432">
        <f>GD3</f>
        <v>0</v>
      </c>
      <c r="GU3" s="1433"/>
      <c r="GV3" s="1433"/>
      <c r="GW3" s="1434"/>
      <c r="GX3" s="1432">
        <f>GH3</f>
        <v>0</v>
      </c>
      <c r="GY3" s="1433"/>
      <c r="GZ3" s="1433"/>
      <c r="HA3" s="1434"/>
      <c r="HB3" s="1432">
        <f>GL3</f>
        <v>0</v>
      </c>
      <c r="HC3" s="1433"/>
      <c r="HD3" s="1433"/>
      <c r="HE3" s="1434"/>
      <c r="HF3" s="1432">
        <f>GP3</f>
        <v>0</v>
      </c>
      <c r="HG3" s="1433"/>
      <c r="HH3" s="1433"/>
      <c r="HI3" s="1449"/>
      <c r="HJ3" s="1450">
        <f>K63</f>
        <v>0</v>
      </c>
      <c r="HK3" s="1433"/>
      <c r="HL3" s="1433"/>
      <c r="HM3" s="1434"/>
      <c r="HN3" s="1432">
        <f>K67</f>
        <v>0</v>
      </c>
      <c r="HO3" s="1433"/>
      <c r="HP3" s="1433"/>
      <c r="HQ3" s="1434"/>
      <c r="HR3" s="1432">
        <f>K71</f>
        <v>0</v>
      </c>
      <c r="HS3" s="1433"/>
      <c r="HT3" s="1433"/>
      <c r="HU3" s="1434"/>
      <c r="HV3" s="1432">
        <f>K75</f>
        <v>0</v>
      </c>
      <c r="HW3" s="1433"/>
      <c r="HX3" s="1433"/>
      <c r="HY3" s="1434"/>
      <c r="HZ3" s="1432">
        <f>HJ3</f>
        <v>0</v>
      </c>
      <c r="IA3" s="1433"/>
      <c r="IB3" s="1433"/>
      <c r="IC3" s="1434"/>
      <c r="ID3" s="1432">
        <f>HN3</f>
        <v>0</v>
      </c>
      <c r="IE3" s="1433"/>
      <c r="IF3" s="1433"/>
      <c r="IG3" s="1434"/>
      <c r="IH3" s="1432">
        <f>HR3</f>
        <v>0</v>
      </c>
      <c r="II3" s="1433"/>
      <c r="IJ3" s="1433"/>
      <c r="IK3" s="1434"/>
      <c r="IL3" s="1432">
        <f>HV3</f>
        <v>0</v>
      </c>
      <c r="IM3" s="1433"/>
      <c r="IN3" s="1433"/>
      <c r="IO3" s="1434"/>
      <c r="IP3" s="1432">
        <f>HZ3</f>
        <v>0</v>
      </c>
      <c r="IQ3" s="1433"/>
      <c r="IR3" s="1433"/>
      <c r="IS3" s="1434"/>
      <c r="IT3" s="1432">
        <f>ID3</f>
        <v>0</v>
      </c>
      <c r="IU3" s="1433"/>
      <c r="IV3" s="1433"/>
      <c r="IW3" s="1434"/>
      <c r="IX3" s="1432">
        <f>IH3</f>
        <v>0</v>
      </c>
      <c r="IY3" s="1433"/>
      <c r="IZ3" s="1433"/>
      <c r="JA3" s="1434"/>
      <c r="JB3" s="1432">
        <f>IL3</f>
        <v>0</v>
      </c>
      <c r="JC3" s="1433"/>
      <c r="JD3" s="1433"/>
      <c r="JE3" s="1434"/>
      <c r="JF3" s="1432">
        <f>IP3</f>
        <v>0</v>
      </c>
      <c r="JG3" s="1433"/>
      <c r="JH3" s="1433"/>
      <c r="JI3" s="1434"/>
      <c r="JJ3" s="1432">
        <f>IT3</f>
        <v>0</v>
      </c>
      <c r="JK3" s="1433"/>
      <c r="JL3" s="1433"/>
      <c r="JM3" s="1434"/>
      <c r="JN3" s="1432">
        <f>IX3</f>
        <v>0</v>
      </c>
      <c r="JO3" s="1433"/>
      <c r="JP3" s="1433"/>
      <c r="JQ3" s="1434"/>
      <c r="JR3" s="1432">
        <f>JB3</f>
        <v>0</v>
      </c>
      <c r="JS3" s="1433"/>
      <c r="JT3" s="1433"/>
      <c r="JU3" s="1434"/>
    </row>
    <row r="4" spans="1:281">
      <c r="A4" s="282">
        <f>K7</f>
        <v>0</v>
      </c>
      <c r="B4" s="275">
        <f t="shared" ref="B4:H4" si="2">(Q7*jodrate)+(Q8*eurrate)+(Q9/usdrate)+Q10</f>
        <v>0</v>
      </c>
      <c r="C4" s="275">
        <f t="shared" si="2"/>
        <v>0</v>
      </c>
      <c r="D4" s="275">
        <f t="shared" si="2"/>
        <v>0</v>
      </c>
      <c r="E4" s="275">
        <f t="shared" si="2"/>
        <v>0</v>
      </c>
      <c r="F4" s="275">
        <f t="shared" si="2"/>
        <v>0</v>
      </c>
      <c r="G4" s="275">
        <f t="shared" si="2"/>
        <v>0</v>
      </c>
      <c r="H4" s="275">
        <f t="shared" si="2"/>
        <v>0</v>
      </c>
      <c r="I4" s="275"/>
      <c r="J4" s="266"/>
      <c r="K4" s="1440"/>
      <c r="L4" s="59" t="s">
        <v>29</v>
      </c>
      <c r="M4" s="283"/>
      <c r="N4" s="56" t="s">
        <v>53</v>
      </c>
      <c r="O4" s="283"/>
      <c r="P4" s="57">
        <f t="shared" ref="P4:P18" si="3">(O4-M4)/30</f>
        <v>0</v>
      </c>
      <c r="Q4" s="284">
        <f>BG5</f>
        <v>0</v>
      </c>
      <c r="R4" s="284">
        <f>AA5-AQ5-Q4-U4</f>
        <v>0</v>
      </c>
      <c r="S4" s="284">
        <f t="shared" si="1"/>
        <v>0</v>
      </c>
      <c r="T4" s="284">
        <f t="shared" ref="T4:T18" si="4">IF(V4+R4-W4&lt;0,0,V4+R4-W4)</f>
        <v>0</v>
      </c>
      <c r="U4" s="284">
        <f>BW5</f>
        <v>0</v>
      </c>
      <c r="V4" s="285"/>
      <c r="W4" s="285"/>
      <c r="X4" s="266"/>
      <c r="Y4" s="271" t="s">
        <v>155</v>
      </c>
      <c r="Z4" s="286" t="str">
        <f>L3</f>
        <v>JOD</v>
      </c>
      <c r="AA4" s="287" t="str">
        <f>L4</f>
        <v>EUR</v>
      </c>
      <c r="AB4" s="287" t="str">
        <f>L5</f>
        <v>ILS</v>
      </c>
      <c r="AC4" s="288" t="str">
        <f>L6</f>
        <v>USD</v>
      </c>
      <c r="AD4" s="286" t="str">
        <f t="shared" ref="AD4:CK4" si="5">Z4</f>
        <v>JOD</v>
      </c>
      <c r="AE4" s="287" t="str">
        <f t="shared" si="5"/>
        <v>EUR</v>
      </c>
      <c r="AF4" s="287" t="str">
        <f t="shared" si="5"/>
        <v>ILS</v>
      </c>
      <c r="AG4" s="288" t="str">
        <f t="shared" si="5"/>
        <v>USD</v>
      </c>
      <c r="AH4" s="286" t="str">
        <f t="shared" si="5"/>
        <v>JOD</v>
      </c>
      <c r="AI4" s="287" t="str">
        <f t="shared" si="5"/>
        <v>EUR</v>
      </c>
      <c r="AJ4" s="287" t="str">
        <f t="shared" si="5"/>
        <v>ILS</v>
      </c>
      <c r="AK4" s="288" t="str">
        <f t="shared" si="5"/>
        <v>USD</v>
      </c>
      <c r="AL4" s="286" t="str">
        <f t="shared" si="5"/>
        <v>JOD</v>
      </c>
      <c r="AM4" s="287" t="str">
        <f t="shared" si="5"/>
        <v>EUR</v>
      </c>
      <c r="AN4" s="287" t="str">
        <f t="shared" si="5"/>
        <v>ILS</v>
      </c>
      <c r="AO4" s="288" t="str">
        <f t="shared" si="5"/>
        <v>USD</v>
      </c>
      <c r="AP4" s="286" t="str">
        <f t="shared" si="5"/>
        <v>JOD</v>
      </c>
      <c r="AQ4" s="287" t="str">
        <f t="shared" si="5"/>
        <v>EUR</v>
      </c>
      <c r="AR4" s="287" t="str">
        <f t="shared" si="5"/>
        <v>ILS</v>
      </c>
      <c r="AS4" s="288" t="str">
        <f t="shared" si="5"/>
        <v>USD</v>
      </c>
      <c r="AT4" s="286" t="str">
        <f t="shared" si="5"/>
        <v>JOD</v>
      </c>
      <c r="AU4" s="287" t="str">
        <f t="shared" si="5"/>
        <v>EUR</v>
      </c>
      <c r="AV4" s="287" t="str">
        <f t="shared" si="5"/>
        <v>ILS</v>
      </c>
      <c r="AW4" s="288" t="str">
        <f t="shared" si="5"/>
        <v>USD</v>
      </c>
      <c r="AX4" s="286" t="str">
        <f t="shared" si="5"/>
        <v>JOD</v>
      </c>
      <c r="AY4" s="287" t="str">
        <f t="shared" si="5"/>
        <v>EUR</v>
      </c>
      <c r="AZ4" s="287" t="str">
        <f t="shared" si="5"/>
        <v>ILS</v>
      </c>
      <c r="BA4" s="288" t="str">
        <f t="shared" si="5"/>
        <v>USD</v>
      </c>
      <c r="BB4" s="286" t="str">
        <f t="shared" si="5"/>
        <v>JOD</v>
      </c>
      <c r="BC4" s="287" t="str">
        <f t="shared" si="5"/>
        <v>EUR</v>
      </c>
      <c r="BD4" s="287" t="str">
        <f t="shared" si="5"/>
        <v>ILS</v>
      </c>
      <c r="BE4" s="288" t="str">
        <f t="shared" si="5"/>
        <v>USD</v>
      </c>
      <c r="BF4" s="286" t="str">
        <f t="shared" si="5"/>
        <v>JOD</v>
      </c>
      <c r="BG4" s="287" t="str">
        <f t="shared" si="5"/>
        <v>EUR</v>
      </c>
      <c r="BH4" s="287" t="str">
        <f t="shared" si="5"/>
        <v>ILS</v>
      </c>
      <c r="BI4" s="288" t="str">
        <f t="shared" si="5"/>
        <v>USD</v>
      </c>
      <c r="BJ4" s="286" t="str">
        <f t="shared" si="5"/>
        <v>JOD</v>
      </c>
      <c r="BK4" s="287" t="str">
        <f t="shared" si="5"/>
        <v>EUR</v>
      </c>
      <c r="BL4" s="287" t="str">
        <f t="shared" si="5"/>
        <v>ILS</v>
      </c>
      <c r="BM4" s="288" t="str">
        <f t="shared" si="5"/>
        <v>USD</v>
      </c>
      <c r="BN4" s="286" t="str">
        <f t="shared" si="5"/>
        <v>JOD</v>
      </c>
      <c r="BO4" s="287" t="str">
        <f t="shared" si="5"/>
        <v>EUR</v>
      </c>
      <c r="BP4" s="287" t="str">
        <f t="shared" si="5"/>
        <v>ILS</v>
      </c>
      <c r="BQ4" s="288" t="str">
        <f t="shared" si="5"/>
        <v>USD</v>
      </c>
      <c r="BR4" s="286" t="str">
        <f t="shared" si="5"/>
        <v>JOD</v>
      </c>
      <c r="BS4" s="287" t="str">
        <f t="shared" si="5"/>
        <v>EUR</v>
      </c>
      <c r="BT4" s="287" t="str">
        <f t="shared" si="5"/>
        <v>ILS</v>
      </c>
      <c r="BU4" s="288" t="str">
        <f t="shared" si="5"/>
        <v>USD</v>
      </c>
      <c r="BV4" s="286" t="str">
        <f t="shared" si="5"/>
        <v>JOD</v>
      </c>
      <c r="BW4" s="287" t="str">
        <f t="shared" si="5"/>
        <v>EUR</v>
      </c>
      <c r="BX4" s="287" t="str">
        <f t="shared" si="5"/>
        <v>ILS</v>
      </c>
      <c r="BY4" s="288" t="str">
        <f t="shared" si="5"/>
        <v>USD</v>
      </c>
      <c r="BZ4" s="286" t="str">
        <f t="shared" si="5"/>
        <v>JOD</v>
      </c>
      <c r="CA4" s="287" t="str">
        <f t="shared" si="5"/>
        <v>EUR</v>
      </c>
      <c r="CB4" s="287" t="str">
        <f t="shared" si="5"/>
        <v>ILS</v>
      </c>
      <c r="CC4" s="288" t="str">
        <f t="shared" si="5"/>
        <v>USD</v>
      </c>
      <c r="CD4" s="286" t="str">
        <f t="shared" si="5"/>
        <v>JOD</v>
      </c>
      <c r="CE4" s="287" t="str">
        <f t="shared" si="5"/>
        <v>EUR</v>
      </c>
      <c r="CF4" s="287" t="str">
        <f t="shared" si="5"/>
        <v>ILS</v>
      </c>
      <c r="CG4" s="288" t="str">
        <f t="shared" si="5"/>
        <v>USD</v>
      </c>
      <c r="CH4" s="286" t="str">
        <f t="shared" si="5"/>
        <v>JOD</v>
      </c>
      <c r="CI4" s="287" t="str">
        <f t="shared" si="5"/>
        <v>EUR</v>
      </c>
      <c r="CJ4" s="287" t="str">
        <f t="shared" si="5"/>
        <v>ILS</v>
      </c>
      <c r="CK4" s="287" t="str">
        <f t="shared" si="5"/>
        <v>USD</v>
      </c>
      <c r="CL4" s="289" t="str">
        <f>L23</f>
        <v>JOD</v>
      </c>
      <c r="CM4" s="287" t="str">
        <f>L24</f>
        <v>EUR</v>
      </c>
      <c r="CN4" s="287" t="str">
        <f>L25</f>
        <v>ILS</v>
      </c>
      <c r="CO4" s="288" t="str">
        <f>L26</f>
        <v>USD</v>
      </c>
      <c r="CP4" s="286" t="str">
        <f t="shared" ref="CP4:EW4" si="6">CL4</f>
        <v>JOD</v>
      </c>
      <c r="CQ4" s="287" t="str">
        <f t="shared" si="6"/>
        <v>EUR</v>
      </c>
      <c r="CR4" s="287" t="str">
        <f t="shared" si="6"/>
        <v>ILS</v>
      </c>
      <c r="CS4" s="288" t="str">
        <f t="shared" si="6"/>
        <v>USD</v>
      </c>
      <c r="CT4" s="286" t="str">
        <f t="shared" si="6"/>
        <v>JOD</v>
      </c>
      <c r="CU4" s="287" t="str">
        <f t="shared" si="6"/>
        <v>EUR</v>
      </c>
      <c r="CV4" s="287" t="str">
        <f t="shared" si="6"/>
        <v>ILS</v>
      </c>
      <c r="CW4" s="288" t="str">
        <f t="shared" si="6"/>
        <v>USD</v>
      </c>
      <c r="CX4" s="286" t="str">
        <f t="shared" si="6"/>
        <v>JOD</v>
      </c>
      <c r="CY4" s="287" t="str">
        <f t="shared" si="6"/>
        <v>EUR</v>
      </c>
      <c r="CZ4" s="287" t="str">
        <f t="shared" si="6"/>
        <v>ILS</v>
      </c>
      <c r="DA4" s="288" t="str">
        <f t="shared" si="6"/>
        <v>USD</v>
      </c>
      <c r="DB4" s="286" t="str">
        <f t="shared" si="6"/>
        <v>JOD</v>
      </c>
      <c r="DC4" s="287" t="str">
        <f t="shared" si="6"/>
        <v>EUR</v>
      </c>
      <c r="DD4" s="287" t="str">
        <f t="shared" si="6"/>
        <v>ILS</v>
      </c>
      <c r="DE4" s="288" t="str">
        <f t="shared" si="6"/>
        <v>USD</v>
      </c>
      <c r="DF4" s="286" t="str">
        <f t="shared" si="6"/>
        <v>JOD</v>
      </c>
      <c r="DG4" s="287" t="str">
        <f t="shared" si="6"/>
        <v>EUR</v>
      </c>
      <c r="DH4" s="287" t="str">
        <f t="shared" si="6"/>
        <v>ILS</v>
      </c>
      <c r="DI4" s="288" t="str">
        <f t="shared" si="6"/>
        <v>USD</v>
      </c>
      <c r="DJ4" s="286" t="str">
        <f t="shared" si="6"/>
        <v>JOD</v>
      </c>
      <c r="DK4" s="287" t="str">
        <f t="shared" si="6"/>
        <v>EUR</v>
      </c>
      <c r="DL4" s="287" t="str">
        <f t="shared" si="6"/>
        <v>ILS</v>
      </c>
      <c r="DM4" s="288" t="str">
        <f t="shared" si="6"/>
        <v>USD</v>
      </c>
      <c r="DN4" s="286" t="str">
        <f t="shared" si="6"/>
        <v>JOD</v>
      </c>
      <c r="DO4" s="287" t="str">
        <f t="shared" si="6"/>
        <v>EUR</v>
      </c>
      <c r="DP4" s="287" t="str">
        <f t="shared" si="6"/>
        <v>ILS</v>
      </c>
      <c r="DQ4" s="288" t="str">
        <f t="shared" si="6"/>
        <v>USD</v>
      </c>
      <c r="DR4" s="286" t="str">
        <f t="shared" si="6"/>
        <v>JOD</v>
      </c>
      <c r="DS4" s="287" t="str">
        <f t="shared" si="6"/>
        <v>EUR</v>
      </c>
      <c r="DT4" s="287" t="str">
        <f t="shared" si="6"/>
        <v>ILS</v>
      </c>
      <c r="DU4" s="288" t="str">
        <f t="shared" si="6"/>
        <v>USD</v>
      </c>
      <c r="DV4" s="286" t="str">
        <f t="shared" si="6"/>
        <v>JOD</v>
      </c>
      <c r="DW4" s="287" t="str">
        <f t="shared" si="6"/>
        <v>EUR</v>
      </c>
      <c r="DX4" s="287" t="str">
        <f t="shared" si="6"/>
        <v>ILS</v>
      </c>
      <c r="DY4" s="288" t="str">
        <f t="shared" si="6"/>
        <v>USD</v>
      </c>
      <c r="DZ4" s="286" t="str">
        <f t="shared" si="6"/>
        <v>JOD</v>
      </c>
      <c r="EA4" s="287" t="str">
        <f t="shared" si="6"/>
        <v>EUR</v>
      </c>
      <c r="EB4" s="287" t="str">
        <f t="shared" si="6"/>
        <v>ILS</v>
      </c>
      <c r="EC4" s="288" t="str">
        <f t="shared" si="6"/>
        <v>USD</v>
      </c>
      <c r="ED4" s="286" t="str">
        <f t="shared" si="6"/>
        <v>JOD</v>
      </c>
      <c r="EE4" s="287" t="str">
        <f t="shared" si="6"/>
        <v>EUR</v>
      </c>
      <c r="EF4" s="287" t="str">
        <f t="shared" si="6"/>
        <v>ILS</v>
      </c>
      <c r="EG4" s="288" t="str">
        <f t="shared" si="6"/>
        <v>USD</v>
      </c>
      <c r="EH4" s="286" t="str">
        <f t="shared" si="6"/>
        <v>JOD</v>
      </c>
      <c r="EI4" s="287" t="str">
        <f t="shared" si="6"/>
        <v>EUR</v>
      </c>
      <c r="EJ4" s="287" t="str">
        <f t="shared" si="6"/>
        <v>ILS</v>
      </c>
      <c r="EK4" s="288" t="str">
        <f t="shared" si="6"/>
        <v>USD</v>
      </c>
      <c r="EL4" s="286" t="str">
        <f t="shared" si="6"/>
        <v>JOD</v>
      </c>
      <c r="EM4" s="287" t="str">
        <f t="shared" si="6"/>
        <v>EUR</v>
      </c>
      <c r="EN4" s="287" t="str">
        <f t="shared" si="6"/>
        <v>ILS</v>
      </c>
      <c r="EO4" s="288" t="str">
        <f t="shared" si="6"/>
        <v>USD</v>
      </c>
      <c r="EP4" s="286" t="str">
        <f t="shared" si="6"/>
        <v>JOD</v>
      </c>
      <c r="EQ4" s="287" t="str">
        <f t="shared" si="6"/>
        <v>EUR</v>
      </c>
      <c r="ER4" s="287" t="str">
        <f t="shared" si="6"/>
        <v>ILS</v>
      </c>
      <c r="ES4" s="288" t="str">
        <f t="shared" si="6"/>
        <v>USD</v>
      </c>
      <c r="ET4" s="286" t="str">
        <f t="shared" si="6"/>
        <v>JOD</v>
      </c>
      <c r="EU4" s="287" t="str">
        <f t="shared" si="6"/>
        <v>EUR</v>
      </c>
      <c r="EV4" s="287" t="str">
        <f t="shared" si="6"/>
        <v>ILS</v>
      </c>
      <c r="EW4" s="287" t="str">
        <f t="shared" si="6"/>
        <v>USD</v>
      </c>
      <c r="EX4" s="289" t="str">
        <f>L43</f>
        <v>JOD</v>
      </c>
      <c r="EY4" s="287" t="str">
        <f>L44</f>
        <v>EUR</v>
      </c>
      <c r="EZ4" s="287" t="str">
        <f>L45</f>
        <v>ILS</v>
      </c>
      <c r="FA4" s="288" t="str">
        <f>L46</f>
        <v>USD</v>
      </c>
      <c r="FB4" s="286" t="str">
        <f t="shared" ref="FB4:HI4" si="7">EX4</f>
        <v>JOD</v>
      </c>
      <c r="FC4" s="287" t="str">
        <f t="shared" si="7"/>
        <v>EUR</v>
      </c>
      <c r="FD4" s="287" t="str">
        <f t="shared" si="7"/>
        <v>ILS</v>
      </c>
      <c r="FE4" s="288" t="str">
        <f t="shared" si="7"/>
        <v>USD</v>
      </c>
      <c r="FF4" s="286" t="str">
        <f t="shared" si="7"/>
        <v>JOD</v>
      </c>
      <c r="FG4" s="287" t="str">
        <f t="shared" si="7"/>
        <v>EUR</v>
      </c>
      <c r="FH4" s="287" t="str">
        <f t="shared" si="7"/>
        <v>ILS</v>
      </c>
      <c r="FI4" s="288" t="str">
        <f t="shared" si="7"/>
        <v>USD</v>
      </c>
      <c r="FJ4" s="286" t="str">
        <f t="shared" si="7"/>
        <v>JOD</v>
      </c>
      <c r="FK4" s="287" t="str">
        <f t="shared" si="7"/>
        <v>EUR</v>
      </c>
      <c r="FL4" s="287" t="str">
        <f t="shared" si="7"/>
        <v>ILS</v>
      </c>
      <c r="FM4" s="288" t="str">
        <f t="shared" si="7"/>
        <v>USD</v>
      </c>
      <c r="FN4" s="286" t="str">
        <f t="shared" si="7"/>
        <v>JOD</v>
      </c>
      <c r="FO4" s="287" t="str">
        <f t="shared" si="7"/>
        <v>EUR</v>
      </c>
      <c r="FP4" s="287" t="str">
        <f t="shared" si="7"/>
        <v>ILS</v>
      </c>
      <c r="FQ4" s="288" t="str">
        <f t="shared" si="7"/>
        <v>USD</v>
      </c>
      <c r="FR4" s="286" t="str">
        <f t="shared" si="7"/>
        <v>JOD</v>
      </c>
      <c r="FS4" s="287" t="str">
        <f t="shared" si="7"/>
        <v>EUR</v>
      </c>
      <c r="FT4" s="287" t="str">
        <f t="shared" si="7"/>
        <v>ILS</v>
      </c>
      <c r="FU4" s="288" t="str">
        <f t="shared" si="7"/>
        <v>USD</v>
      </c>
      <c r="FV4" s="286" t="str">
        <f t="shared" si="7"/>
        <v>JOD</v>
      </c>
      <c r="FW4" s="287" t="str">
        <f t="shared" si="7"/>
        <v>EUR</v>
      </c>
      <c r="FX4" s="287" t="str">
        <f t="shared" si="7"/>
        <v>ILS</v>
      </c>
      <c r="FY4" s="288" t="str">
        <f t="shared" si="7"/>
        <v>USD</v>
      </c>
      <c r="FZ4" s="286" t="str">
        <f t="shared" si="7"/>
        <v>JOD</v>
      </c>
      <c r="GA4" s="287" t="str">
        <f t="shared" si="7"/>
        <v>EUR</v>
      </c>
      <c r="GB4" s="287" t="str">
        <f t="shared" si="7"/>
        <v>ILS</v>
      </c>
      <c r="GC4" s="288" t="str">
        <f t="shared" si="7"/>
        <v>USD</v>
      </c>
      <c r="GD4" s="286" t="str">
        <f t="shared" si="7"/>
        <v>JOD</v>
      </c>
      <c r="GE4" s="287" t="str">
        <f t="shared" si="7"/>
        <v>EUR</v>
      </c>
      <c r="GF4" s="287" t="str">
        <f t="shared" si="7"/>
        <v>ILS</v>
      </c>
      <c r="GG4" s="288" t="str">
        <f t="shared" si="7"/>
        <v>USD</v>
      </c>
      <c r="GH4" s="286" t="str">
        <f t="shared" si="7"/>
        <v>JOD</v>
      </c>
      <c r="GI4" s="287" t="str">
        <f t="shared" si="7"/>
        <v>EUR</v>
      </c>
      <c r="GJ4" s="287" t="str">
        <f t="shared" si="7"/>
        <v>ILS</v>
      </c>
      <c r="GK4" s="288" t="str">
        <f t="shared" si="7"/>
        <v>USD</v>
      </c>
      <c r="GL4" s="286" t="str">
        <f t="shared" si="7"/>
        <v>JOD</v>
      </c>
      <c r="GM4" s="287" t="str">
        <f t="shared" si="7"/>
        <v>EUR</v>
      </c>
      <c r="GN4" s="287" t="str">
        <f t="shared" si="7"/>
        <v>ILS</v>
      </c>
      <c r="GO4" s="288" t="str">
        <f t="shared" si="7"/>
        <v>USD</v>
      </c>
      <c r="GP4" s="286" t="str">
        <f t="shared" si="7"/>
        <v>JOD</v>
      </c>
      <c r="GQ4" s="287" t="str">
        <f t="shared" si="7"/>
        <v>EUR</v>
      </c>
      <c r="GR4" s="287" t="str">
        <f t="shared" si="7"/>
        <v>ILS</v>
      </c>
      <c r="GS4" s="288" t="str">
        <f t="shared" si="7"/>
        <v>USD</v>
      </c>
      <c r="GT4" s="286" t="str">
        <f t="shared" si="7"/>
        <v>JOD</v>
      </c>
      <c r="GU4" s="287" t="str">
        <f t="shared" si="7"/>
        <v>EUR</v>
      </c>
      <c r="GV4" s="287" t="str">
        <f t="shared" si="7"/>
        <v>ILS</v>
      </c>
      <c r="GW4" s="288" t="str">
        <f t="shared" si="7"/>
        <v>USD</v>
      </c>
      <c r="GX4" s="286" t="str">
        <f t="shared" si="7"/>
        <v>JOD</v>
      </c>
      <c r="GY4" s="287" t="str">
        <f t="shared" si="7"/>
        <v>EUR</v>
      </c>
      <c r="GZ4" s="287" t="str">
        <f t="shared" si="7"/>
        <v>ILS</v>
      </c>
      <c r="HA4" s="288" t="str">
        <f t="shared" si="7"/>
        <v>USD</v>
      </c>
      <c r="HB4" s="286" t="str">
        <f t="shared" si="7"/>
        <v>JOD</v>
      </c>
      <c r="HC4" s="287" t="str">
        <f t="shared" si="7"/>
        <v>EUR</v>
      </c>
      <c r="HD4" s="287" t="str">
        <f t="shared" si="7"/>
        <v>ILS</v>
      </c>
      <c r="HE4" s="288" t="str">
        <f t="shared" si="7"/>
        <v>USD</v>
      </c>
      <c r="HF4" s="286" t="str">
        <f t="shared" si="7"/>
        <v>JOD</v>
      </c>
      <c r="HG4" s="287" t="str">
        <f t="shared" si="7"/>
        <v>EUR</v>
      </c>
      <c r="HH4" s="287" t="str">
        <f t="shared" si="7"/>
        <v>ILS</v>
      </c>
      <c r="HI4" s="287" t="str">
        <f t="shared" si="7"/>
        <v>USD</v>
      </c>
      <c r="HJ4" s="289" t="str">
        <f>L63</f>
        <v>JOD</v>
      </c>
      <c r="HK4" s="287" t="str">
        <f>L64</f>
        <v>EUR</v>
      </c>
      <c r="HL4" s="287" t="str">
        <f>L65</f>
        <v>ILS</v>
      </c>
      <c r="HM4" s="288" t="str">
        <f>L66</f>
        <v>USD</v>
      </c>
      <c r="HN4" s="286" t="str">
        <f t="shared" ref="HN4:JU4" si="8">HJ4</f>
        <v>JOD</v>
      </c>
      <c r="HO4" s="287" t="str">
        <f t="shared" si="8"/>
        <v>EUR</v>
      </c>
      <c r="HP4" s="287" t="str">
        <f t="shared" si="8"/>
        <v>ILS</v>
      </c>
      <c r="HQ4" s="288" t="str">
        <f t="shared" si="8"/>
        <v>USD</v>
      </c>
      <c r="HR4" s="286" t="str">
        <f t="shared" si="8"/>
        <v>JOD</v>
      </c>
      <c r="HS4" s="287" t="str">
        <f t="shared" si="8"/>
        <v>EUR</v>
      </c>
      <c r="HT4" s="287" t="str">
        <f t="shared" si="8"/>
        <v>ILS</v>
      </c>
      <c r="HU4" s="288" t="str">
        <f t="shared" si="8"/>
        <v>USD</v>
      </c>
      <c r="HV4" s="286" t="str">
        <f t="shared" si="8"/>
        <v>JOD</v>
      </c>
      <c r="HW4" s="287" t="str">
        <f t="shared" si="8"/>
        <v>EUR</v>
      </c>
      <c r="HX4" s="287" t="str">
        <f t="shared" si="8"/>
        <v>ILS</v>
      </c>
      <c r="HY4" s="288" t="str">
        <f t="shared" si="8"/>
        <v>USD</v>
      </c>
      <c r="HZ4" s="286" t="str">
        <f t="shared" si="8"/>
        <v>JOD</v>
      </c>
      <c r="IA4" s="287" t="str">
        <f t="shared" si="8"/>
        <v>EUR</v>
      </c>
      <c r="IB4" s="287" t="str">
        <f t="shared" si="8"/>
        <v>ILS</v>
      </c>
      <c r="IC4" s="288" t="str">
        <f t="shared" si="8"/>
        <v>USD</v>
      </c>
      <c r="ID4" s="286" t="str">
        <f t="shared" si="8"/>
        <v>JOD</v>
      </c>
      <c r="IE4" s="287" t="str">
        <f t="shared" si="8"/>
        <v>EUR</v>
      </c>
      <c r="IF4" s="287" t="str">
        <f t="shared" si="8"/>
        <v>ILS</v>
      </c>
      <c r="IG4" s="288" t="str">
        <f t="shared" si="8"/>
        <v>USD</v>
      </c>
      <c r="IH4" s="286" t="str">
        <f t="shared" si="8"/>
        <v>JOD</v>
      </c>
      <c r="II4" s="287" t="str">
        <f t="shared" si="8"/>
        <v>EUR</v>
      </c>
      <c r="IJ4" s="287" t="str">
        <f t="shared" si="8"/>
        <v>ILS</v>
      </c>
      <c r="IK4" s="288" t="str">
        <f t="shared" si="8"/>
        <v>USD</v>
      </c>
      <c r="IL4" s="286" t="str">
        <f t="shared" si="8"/>
        <v>JOD</v>
      </c>
      <c r="IM4" s="287" t="str">
        <f t="shared" si="8"/>
        <v>EUR</v>
      </c>
      <c r="IN4" s="287" t="str">
        <f t="shared" si="8"/>
        <v>ILS</v>
      </c>
      <c r="IO4" s="288" t="str">
        <f t="shared" si="8"/>
        <v>USD</v>
      </c>
      <c r="IP4" s="286" t="str">
        <f t="shared" si="8"/>
        <v>JOD</v>
      </c>
      <c r="IQ4" s="287" t="str">
        <f t="shared" si="8"/>
        <v>EUR</v>
      </c>
      <c r="IR4" s="287" t="str">
        <f t="shared" si="8"/>
        <v>ILS</v>
      </c>
      <c r="IS4" s="288" t="str">
        <f t="shared" si="8"/>
        <v>USD</v>
      </c>
      <c r="IT4" s="286" t="str">
        <f t="shared" si="8"/>
        <v>JOD</v>
      </c>
      <c r="IU4" s="287" t="str">
        <f t="shared" si="8"/>
        <v>EUR</v>
      </c>
      <c r="IV4" s="287" t="str">
        <f t="shared" si="8"/>
        <v>ILS</v>
      </c>
      <c r="IW4" s="288" t="str">
        <f t="shared" si="8"/>
        <v>USD</v>
      </c>
      <c r="IX4" s="286" t="str">
        <f t="shared" si="8"/>
        <v>JOD</v>
      </c>
      <c r="IY4" s="287" t="str">
        <f t="shared" si="8"/>
        <v>EUR</v>
      </c>
      <c r="IZ4" s="287" t="str">
        <f t="shared" si="8"/>
        <v>ILS</v>
      </c>
      <c r="JA4" s="288" t="str">
        <f t="shared" si="8"/>
        <v>USD</v>
      </c>
      <c r="JB4" s="286" t="str">
        <f t="shared" si="8"/>
        <v>JOD</v>
      </c>
      <c r="JC4" s="287" t="str">
        <f t="shared" si="8"/>
        <v>EUR</v>
      </c>
      <c r="JD4" s="287" t="str">
        <f t="shared" si="8"/>
        <v>ILS</v>
      </c>
      <c r="JE4" s="288" t="str">
        <f t="shared" si="8"/>
        <v>USD</v>
      </c>
      <c r="JF4" s="286" t="str">
        <f t="shared" si="8"/>
        <v>JOD</v>
      </c>
      <c r="JG4" s="287" t="str">
        <f t="shared" si="8"/>
        <v>EUR</v>
      </c>
      <c r="JH4" s="287" t="str">
        <f t="shared" si="8"/>
        <v>ILS</v>
      </c>
      <c r="JI4" s="288" t="str">
        <f t="shared" si="8"/>
        <v>USD</v>
      </c>
      <c r="JJ4" s="286" t="str">
        <f t="shared" si="8"/>
        <v>JOD</v>
      </c>
      <c r="JK4" s="287" t="str">
        <f t="shared" si="8"/>
        <v>EUR</v>
      </c>
      <c r="JL4" s="287" t="str">
        <f t="shared" si="8"/>
        <v>ILS</v>
      </c>
      <c r="JM4" s="288" t="str">
        <f t="shared" si="8"/>
        <v>USD</v>
      </c>
      <c r="JN4" s="286" t="str">
        <f t="shared" si="8"/>
        <v>JOD</v>
      </c>
      <c r="JO4" s="287" t="str">
        <f t="shared" si="8"/>
        <v>EUR</v>
      </c>
      <c r="JP4" s="287" t="str">
        <f t="shared" si="8"/>
        <v>ILS</v>
      </c>
      <c r="JQ4" s="288" t="str">
        <f t="shared" si="8"/>
        <v>USD</v>
      </c>
      <c r="JR4" s="286" t="str">
        <f t="shared" si="8"/>
        <v>JOD</v>
      </c>
      <c r="JS4" s="287" t="str">
        <f t="shared" si="8"/>
        <v>EUR</v>
      </c>
      <c r="JT4" s="287" t="str">
        <f t="shared" si="8"/>
        <v>ILS</v>
      </c>
      <c r="JU4" s="288" t="str">
        <f t="shared" si="8"/>
        <v>USD</v>
      </c>
    </row>
    <row r="5" spans="1:281">
      <c r="A5" s="282">
        <f>K11</f>
        <v>0</v>
      </c>
      <c r="B5" s="275">
        <f t="shared" ref="B5:H5" si="9">(Q11*jodrate)+(Q12*eurrate)+(Q13/usdrate)+Q14</f>
        <v>0</v>
      </c>
      <c r="C5" s="275">
        <f t="shared" si="9"/>
        <v>0</v>
      </c>
      <c r="D5" s="275">
        <f t="shared" si="9"/>
        <v>0</v>
      </c>
      <c r="E5" s="275">
        <f t="shared" si="9"/>
        <v>0</v>
      </c>
      <c r="F5" s="275">
        <f t="shared" si="9"/>
        <v>0</v>
      </c>
      <c r="G5" s="275">
        <f t="shared" si="9"/>
        <v>0</v>
      </c>
      <c r="H5" s="275">
        <f t="shared" si="9"/>
        <v>0</v>
      </c>
      <c r="I5" s="275"/>
      <c r="J5" s="266"/>
      <c r="K5" s="1440"/>
      <c r="L5" s="59" t="s">
        <v>4</v>
      </c>
      <c r="M5" s="283"/>
      <c r="N5" s="56" t="s">
        <v>53</v>
      </c>
      <c r="O5" s="283"/>
      <c r="P5" s="57">
        <f t="shared" si="3"/>
        <v>0</v>
      </c>
      <c r="Q5" s="284">
        <f>BH5</f>
        <v>0</v>
      </c>
      <c r="R5" s="284">
        <f>AB5-AR5-Q5-U5</f>
        <v>0</v>
      </c>
      <c r="S5" s="284">
        <f t="shared" si="1"/>
        <v>0</v>
      </c>
      <c r="T5" s="284">
        <f t="shared" si="4"/>
        <v>0</v>
      </c>
      <c r="U5" s="284">
        <f>BX5</f>
        <v>0</v>
      </c>
      <c r="V5" s="290"/>
      <c r="W5" s="290"/>
      <c r="X5" s="266"/>
      <c r="Y5" s="271" t="s">
        <v>1543</v>
      </c>
      <c r="Z5" s="291">
        <f t="shared" ref="Z5:CK5" si="10">SUM(Z6:Z999992)</f>
        <v>0</v>
      </c>
      <c r="AA5" s="292">
        <f t="shared" si="10"/>
        <v>0</v>
      </c>
      <c r="AB5" s="292">
        <f t="shared" si="10"/>
        <v>0</v>
      </c>
      <c r="AC5" s="293">
        <f t="shared" si="10"/>
        <v>0</v>
      </c>
      <c r="AD5" s="291">
        <f t="shared" si="10"/>
        <v>0</v>
      </c>
      <c r="AE5" s="292">
        <f t="shared" si="10"/>
        <v>0</v>
      </c>
      <c r="AF5" s="292">
        <f t="shared" si="10"/>
        <v>0</v>
      </c>
      <c r="AG5" s="293">
        <f t="shared" si="10"/>
        <v>0</v>
      </c>
      <c r="AH5" s="291">
        <f t="shared" si="10"/>
        <v>0</v>
      </c>
      <c r="AI5" s="292">
        <f t="shared" si="10"/>
        <v>0</v>
      </c>
      <c r="AJ5" s="292">
        <f t="shared" si="10"/>
        <v>0</v>
      </c>
      <c r="AK5" s="293">
        <f t="shared" si="10"/>
        <v>0</v>
      </c>
      <c r="AL5" s="291">
        <f t="shared" si="10"/>
        <v>0</v>
      </c>
      <c r="AM5" s="292">
        <f t="shared" si="10"/>
        <v>0</v>
      </c>
      <c r="AN5" s="292">
        <f t="shared" si="10"/>
        <v>0</v>
      </c>
      <c r="AO5" s="293">
        <f t="shared" si="10"/>
        <v>0</v>
      </c>
      <c r="AP5" s="291">
        <f t="shared" si="10"/>
        <v>0</v>
      </c>
      <c r="AQ5" s="292">
        <f t="shared" si="10"/>
        <v>0</v>
      </c>
      <c r="AR5" s="292">
        <f t="shared" si="10"/>
        <v>0</v>
      </c>
      <c r="AS5" s="293">
        <f t="shared" si="10"/>
        <v>0</v>
      </c>
      <c r="AT5" s="291">
        <f t="shared" si="10"/>
        <v>0</v>
      </c>
      <c r="AU5" s="292">
        <f t="shared" si="10"/>
        <v>0</v>
      </c>
      <c r="AV5" s="292">
        <f t="shared" si="10"/>
        <v>0</v>
      </c>
      <c r="AW5" s="293">
        <f t="shared" si="10"/>
        <v>0</v>
      </c>
      <c r="AX5" s="291">
        <f t="shared" si="10"/>
        <v>0</v>
      </c>
      <c r="AY5" s="292">
        <f t="shared" si="10"/>
        <v>0</v>
      </c>
      <c r="AZ5" s="292">
        <f t="shared" si="10"/>
        <v>0</v>
      </c>
      <c r="BA5" s="293">
        <f t="shared" si="10"/>
        <v>0</v>
      </c>
      <c r="BB5" s="291">
        <f t="shared" si="10"/>
        <v>0</v>
      </c>
      <c r="BC5" s="292">
        <f t="shared" si="10"/>
        <v>0</v>
      </c>
      <c r="BD5" s="292">
        <f t="shared" si="10"/>
        <v>0</v>
      </c>
      <c r="BE5" s="293">
        <f t="shared" si="10"/>
        <v>0</v>
      </c>
      <c r="BF5" s="291">
        <f t="shared" si="10"/>
        <v>0</v>
      </c>
      <c r="BG5" s="292">
        <f t="shared" si="10"/>
        <v>0</v>
      </c>
      <c r="BH5" s="292">
        <f t="shared" si="10"/>
        <v>0</v>
      </c>
      <c r="BI5" s="293">
        <f t="shared" si="10"/>
        <v>0</v>
      </c>
      <c r="BJ5" s="291">
        <f t="shared" si="10"/>
        <v>0</v>
      </c>
      <c r="BK5" s="292">
        <f t="shared" si="10"/>
        <v>0</v>
      </c>
      <c r="BL5" s="292">
        <f t="shared" si="10"/>
        <v>0</v>
      </c>
      <c r="BM5" s="293">
        <f t="shared" si="10"/>
        <v>0</v>
      </c>
      <c r="BN5" s="291">
        <f t="shared" si="10"/>
        <v>0</v>
      </c>
      <c r="BO5" s="292">
        <f t="shared" si="10"/>
        <v>0</v>
      </c>
      <c r="BP5" s="292">
        <f t="shared" si="10"/>
        <v>0</v>
      </c>
      <c r="BQ5" s="293">
        <f t="shared" si="10"/>
        <v>0</v>
      </c>
      <c r="BR5" s="291">
        <f t="shared" si="10"/>
        <v>0</v>
      </c>
      <c r="BS5" s="292">
        <f t="shared" si="10"/>
        <v>0</v>
      </c>
      <c r="BT5" s="292">
        <f t="shared" si="10"/>
        <v>0</v>
      </c>
      <c r="BU5" s="293">
        <f t="shared" si="10"/>
        <v>0</v>
      </c>
      <c r="BV5" s="291">
        <f t="shared" si="10"/>
        <v>0</v>
      </c>
      <c r="BW5" s="292">
        <f t="shared" si="10"/>
        <v>0</v>
      </c>
      <c r="BX5" s="292">
        <f t="shared" si="10"/>
        <v>0</v>
      </c>
      <c r="BY5" s="293">
        <f t="shared" si="10"/>
        <v>0</v>
      </c>
      <c r="BZ5" s="291">
        <f t="shared" si="10"/>
        <v>0</v>
      </c>
      <c r="CA5" s="292">
        <f t="shared" si="10"/>
        <v>0</v>
      </c>
      <c r="CB5" s="292">
        <f t="shared" si="10"/>
        <v>0</v>
      </c>
      <c r="CC5" s="293">
        <f t="shared" si="10"/>
        <v>0</v>
      </c>
      <c r="CD5" s="291">
        <f t="shared" si="10"/>
        <v>0</v>
      </c>
      <c r="CE5" s="292">
        <f t="shared" si="10"/>
        <v>0</v>
      </c>
      <c r="CF5" s="292">
        <f t="shared" si="10"/>
        <v>0</v>
      </c>
      <c r="CG5" s="293">
        <f t="shared" si="10"/>
        <v>0</v>
      </c>
      <c r="CH5" s="291">
        <f t="shared" si="10"/>
        <v>0</v>
      </c>
      <c r="CI5" s="292">
        <f t="shared" si="10"/>
        <v>0</v>
      </c>
      <c r="CJ5" s="292">
        <f t="shared" si="10"/>
        <v>0</v>
      </c>
      <c r="CK5" s="292">
        <f t="shared" si="10"/>
        <v>0</v>
      </c>
      <c r="CL5" s="294">
        <f t="shared" ref="CL5:EW5" si="11">SUM(CL6:CL999992)</f>
        <v>0</v>
      </c>
      <c r="CM5" s="292">
        <f t="shared" si="11"/>
        <v>0</v>
      </c>
      <c r="CN5" s="292">
        <f>SUM(CN6:CN999992)</f>
        <v>0</v>
      </c>
      <c r="CO5" s="293">
        <f t="shared" si="11"/>
        <v>0</v>
      </c>
      <c r="CP5" s="291">
        <f t="shared" si="11"/>
        <v>0</v>
      </c>
      <c r="CQ5" s="292">
        <f t="shared" si="11"/>
        <v>0</v>
      </c>
      <c r="CR5" s="292">
        <f t="shared" si="11"/>
        <v>0</v>
      </c>
      <c r="CS5" s="293">
        <f t="shared" si="11"/>
        <v>0</v>
      </c>
      <c r="CT5" s="291">
        <f t="shared" si="11"/>
        <v>0</v>
      </c>
      <c r="CU5" s="292">
        <f t="shared" si="11"/>
        <v>0</v>
      </c>
      <c r="CV5" s="292">
        <f t="shared" si="11"/>
        <v>0</v>
      </c>
      <c r="CW5" s="293">
        <f t="shared" si="11"/>
        <v>0</v>
      </c>
      <c r="CX5" s="291">
        <f t="shared" si="11"/>
        <v>0</v>
      </c>
      <c r="CY5" s="292">
        <f t="shared" si="11"/>
        <v>0</v>
      </c>
      <c r="CZ5" s="292">
        <f t="shared" si="11"/>
        <v>0</v>
      </c>
      <c r="DA5" s="293">
        <f t="shared" si="11"/>
        <v>0</v>
      </c>
      <c r="DB5" s="291">
        <f t="shared" si="11"/>
        <v>0</v>
      </c>
      <c r="DC5" s="292">
        <f t="shared" si="11"/>
        <v>0</v>
      </c>
      <c r="DD5" s="292">
        <f t="shared" si="11"/>
        <v>0</v>
      </c>
      <c r="DE5" s="293">
        <f t="shared" si="11"/>
        <v>0</v>
      </c>
      <c r="DF5" s="291">
        <f t="shared" si="11"/>
        <v>0</v>
      </c>
      <c r="DG5" s="292">
        <f t="shared" si="11"/>
        <v>0</v>
      </c>
      <c r="DH5" s="292">
        <f t="shared" si="11"/>
        <v>0</v>
      </c>
      <c r="DI5" s="293">
        <f t="shared" si="11"/>
        <v>0</v>
      </c>
      <c r="DJ5" s="291">
        <f t="shared" si="11"/>
        <v>0</v>
      </c>
      <c r="DK5" s="292">
        <f t="shared" si="11"/>
        <v>0</v>
      </c>
      <c r="DL5" s="292">
        <f t="shared" si="11"/>
        <v>0</v>
      </c>
      <c r="DM5" s="293">
        <f t="shared" si="11"/>
        <v>0</v>
      </c>
      <c r="DN5" s="291">
        <f t="shared" si="11"/>
        <v>0</v>
      </c>
      <c r="DO5" s="292">
        <f t="shared" si="11"/>
        <v>0</v>
      </c>
      <c r="DP5" s="292">
        <f t="shared" si="11"/>
        <v>0</v>
      </c>
      <c r="DQ5" s="293">
        <f t="shared" si="11"/>
        <v>0</v>
      </c>
      <c r="DR5" s="291">
        <f t="shared" si="11"/>
        <v>0</v>
      </c>
      <c r="DS5" s="292">
        <f t="shared" si="11"/>
        <v>0</v>
      </c>
      <c r="DT5" s="292">
        <f t="shared" si="11"/>
        <v>0</v>
      </c>
      <c r="DU5" s="293">
        <f t="shared" si="11"/>
        <v>0</v>
      </c>
      <c r="DV5" s="291">
        <f t="shared" si="11"/>
        <v>0</v>
      </c>
      <c r="DW5" s="292">
        <f t="shared" si="11"/>
        <v>0</v>
      </c>
      <c r="DX5" s="292">
        <f t="shared" si="11"/>
        <v>0</v>
      </c>
      <c r="DY5" s="293">
        <f t="shared" si="11"/>
        <v>0</v>
      </c>
      <c r="DZ5" s="291">
        <f t="shared" si="11"/>
        <v>0</v>
      </c>
      <c r="EA5" s="292">
        <f t="shared" si="11"/>
        <v>0</v>
      </c>
      <c r="EB5" s="292">
        <f t="shared" si="11"/>
        <v>0</v>
      </c>
      <c r="EC5" s="293">
        <f t="shared" si="11"/>
        <v>0</v>
      </c>
      <c r="ED5" s="291">
        <f t="shared" si="11"/>
        <v>0</v>
      </c>
      <c r="EE5" s="292">
        <f t="shared" si="11"/>
        <v>0</v>
      </c>
      <c r="EF5" s="292">
        <f t="shared" si="11"/>
        <v>0</v>
      </c>
      <c r="EG5" s="293">
        <f t="shared" si="11"/>
        <v>0</v>
      </c>
      <c r="EH5" s="291">
        <f t="shared" si="11"/>
        <v>0</v>
      </c>
      <c r="EI5" s="292">
        <f t="shared" si="11"/>
        <v>0</v>
      </c>
      <c r="EJ5" s="292">
        <f t="shared" si="11"/>
        <v>0</v>
      </c>
      <c r="EK5" s="293">
        <f t="shared" si="11"/>
        <v>0</v>
      </c>
      <c r="EL5" s="291">
        <f t="shared" si="11"/>
        <v>0</v>
      </c>
      <c r="EM5" s="292">
        <f t="shared" si="11"/>
        <v>0</v>
      </c>
      <c r="EN5" s="292">
        <f t="shared" si="11"/>
        <v>0</v>
      </c>
      <c r="EO5" s="293">
        <f t="shared" si="11"/>
        <v>0</v>
      </c>
      <c r="EP5" s="291">
        <f t="shared" si="11"/>
        <v>0</v>
      </c>
      <c r="EQ5" s="292">
        <f t="shared" si="11"/>
        <v>0</v>
      </c>
      <c r="ER5" s="292">
        <f t="shared" si="11"/>
        <v>0</v>
      </c>
      <c r="ES5" s="293">
        <f t="shared" si="11"/>
        <v>0</v>
      </c>
      <c r="ET5" s="291">
        <f t="shared" si="11"/>
        <v>0</v>
      </c>
      <c r="EU5" s="292">
        <f t="shared" si="11"/>
        <v>0</v>
      </c>
      <c r="EV5" s="292">
        <f t="shared" si="11"/>
        <v>0</v>
      </c>
      <c r="EW5" s="292">
        <f t="shared" si="11"/>
        <v>0</v>
      </c>
      <c r="EX5" s="294">
        <f t="shared" ref="EX5:HI5" si="12">SUM(EX6:EX999992)</f>
        <v>0</v>
      </c>
      <c r="EY5" s="292">
        <f t="shared" si="12"/>
        <v>0</v>
      </c>
      <c r="EZ5" s="292">
        <f t="shared" si="12"/>
        <v>0</v>
      </c>
      <c r="FA5" s="293">
        <f t="shared" si="12"/>
        <v>0</v>
      </c>
      <c r="FB5" s="291">
        <f t="shared" si="12"/>
        <v>0</v>
      </c>
      <c r="FC5" s="292">
        <f t="shared" si="12"/>
        <v>0</v>
      </c>
      <c r="FD5" s="292">
        <f t="shared" si="12"/>
        <v>0</v>
      </c>
      <c r="FE5" s="293">
        <f t="shared" si="12"/>
        <v>0</v>
      </c>
      <c r="FF5" s="291">
        <f t="shared" si="12"/>
        <v>0</v>
      </c>
      <c r="FG5" s="292">
        <f t="shared" si="12"/>
        <v>0</v>
      </c>
      <c r="FH5" s="292">
        <f t="shared" si="12"/>
        <v>0</v>
      </c>
      <c r="FI5" s="293">
        <f t="shared" si="12"/>
        <v>0</v>
      </c>
      <c r="FJ5" s="291">
        <f t="shared" si="12"/>
        <v>0</v>
      </c>
      <c r="FK5" s="292">
        <f t="shared" si="12"/>
        <v>0</v>
      </c>
      <c r="FL5" s="292">
        <f t="shared" si="12"/>
        <v>0</v>
      </c>
      <c r="FM5" s="293">
        <f t="shared" si="12"/>
        <v>0</v>
      </c>
      <c r="FN5" s="291">
        <f t="shared" si="12"/>
        <v>0</v>
      </c>
      <c r="FO5" s="292">
        <f t="shared" si="12"/>
        <v>0</v>
      </c>
      <c r="FP5" s="292">
        <f t="shared" si="12"/>
        <v>0</v>
      </c>
      <c r="FQ5" s="293">
        <f t="shared" si="12"/>
        <v>0</v>
      </c>
      <c r="FR5" s="291">
        <f t="shared" si="12"/>
        <v>0</v>
      </c>
      <c r="FS5" s="292">
        <f t="shared" si="12"/>
        <v>0</v>
      </c>
      <c r="FT5" s="292">
        <f t="shared" si="12"/>
        <v>0</v>
      </c>
      <c r="FU5" s="293">
        <f t="shared" si="12"/>
        <v>0</v>
      </c>
      <c r="FV5" s="291">
        <f t="shared" si="12"/>
        <v>0</v>
      </c>
      <c r="FW5" s="292">
        <f t="shared" si="12"/>
        <v>0</v>
      </c>
      <c r="FX5" s="292">
        <f t="shared" si="12"/>
        <v>0</v>
      </c>
      <c r="FY5" s="293">
        <f t="shared" si="12"/>
        <v>0</v>
      </c>
      <c r="FZ5" s="291">
        <f t="shared" si="12"/>
        <v>0</v>
      </c>
      <c r="GA5" s="292">
        <f t="shared" si="12"/>
        <v>0</v>
      </c>
      <c r="GB5" s="292">
        <f t="shared" si="12"/>
        <v>0</v>
      </c>
      <c r="GC5" s="293">
        <f t="shared" si="12"/>
        <v>0</v>
      </c>
      <c r="GD5" s="291">
        <f t="shared" si="12"/>
        <v>0</v>
      </c>
      <c r="GE5" s="292">
        <f t="shared" si="12"/>
        <v>0</v>
      </c>
      <c r="GF5" s="292">
        <f t="shared" si="12"/>
        <v>0</v>
      </c>
      <c r="GG5" s="293">
        <f t="shared" si="12"/>
        <v>0</v>
      </c>
      <c r="GH5" s="291">
        <f t="shared" si="12"/>
        <v>0</v>
      </c>
      <c r="GI5" s="292">
        <f t="shared" si="12"/>
        <v>0</v>
      </c>
      <c r="GJ5" s="292">
        <f t="shared" si="12"/>
        <v>0</v>
      </c>
      <c r="GK5" s="293">
        <f t="shared" si="12"/>
        <v>0</v>
      </c>
      <c r="GL5" s="291">
        <f t="shared" si="12"/>
        <v>0</v>
      </c>
      <c r="GM5" s="292">
        <f t="shared" si="12"/>
        <v>0</v>
      </c>
      <c r="GN5" s="292">
        <f t="shared" si="12"/>
        <v>0</v>
      </c>
      <c r="GO5" s="293">
        <f t="shared" si="12"/>
        <v>0</v>
      </c>
      <c r="GP5" s="291">
        <f t="shared" si="12"/>
        <v>0</v>
      </c>
      <c r="GQ5" s="292">
        <f t="shared" si="12"/>
        <v>0</v>
      </c>
      <c r="GR5" s="292">
        <f t="shared" si="12"/>
        <v>0</v>
      </c>
      <c r="GS5" s="293">
        <f t="shared" si="12"/>
        <v>0</v>
      </c>
      <c r="GT5" s="291">
        <f t="shared" si="12"/>
        <v>0</v>
      </c>
      <c r="GU5" s="292">
        <f t="shared" si="12"/>
        <v>0</v>
      </c>
      <c r="GV5" s="292">
        <f t="shared" si="12"/>
        <v>0</v>
      </c>
      <c r="GW5" s="293">
        <f t="shared" si="12"/>
        <v>0</v>
      </c>
      <c r="GX5" s="291">
        <f t="shared" si="12"/>
        <v>0</v>
      </c>
      <c r="GY5" s="292">
        <f t="shared" si="12"/>
        <v>0</v>
      </c>
      <c r="GZ5" s="292">
        <f t="shared" si="12"/>
        <v>0</v>
      </c>
      <c r="HA5" s="293">
        <f t="shared" si="12"/>
        <v>0</v>
      </c>
      <c r="HB5" s="291">
        <f t="shared" si="12"/>
        <v>0</v>
      </c>
      <c r="HC5" s="292">
        <f t="shared" si="12"/>
        <v>0</v>
      </c>
      <c r="HD5" s="292">
        <f t="shared" si="12"/>
        <v>0</v>
      </c>
      <c r="HE5" s="293">
        <f t="shared" si="12"/>
        <v>0</v>
      </c>
      <c r="HF5" s="291">
        <f t="shared" si="12"/>
        <v>0</v>
      </c>
      <c r="HG5" s="292">
        <f t="shared" si="12"/>
        <v>0</v>
      </c>
      <c r="HH5" s="292">
        <f t="shared" si="12"/>
        <v>0</v>
      </c>
      <c r="HI5" s="292">
        <f t="shared" si="12"/>
        <v>0</v>
      </c>
      <c r="HJ5" s="294">
        <f t="shared" ref="HJ5:JU5" si="13">SUM(HJ6:HJ999992)</f>
        <v>0</v>
      </c>
      <c r="HK5" s="292">
        <f t="shared" si="13"/>
        <v>0</v>
      </c>
      <c r="HL5" s="292">
        <f t="shared" si="13"/>
        <v>0</v>
      </c>
      <c r="HM5" s="293">
        <f t="shared" si="13"/>
        <v>0</v>
      </c>
      <c r="HN5" s="291">
        <f t="shared" si="13"/>
        <v>0</v>
      </c>
      <c r="HO5" s="292">
        <f t="shared" si="13"/>
        <v>0</v>
      </c>
      <c r="HP5" s="292">
        <f t="shared" si="13"/>
        <v>0</v>
      </c>
      <c r="HQ5" s="293">
        <f t="shared" si="13"/>
        <v>0</v>
      </c>
      <c r="HR5" s="291">
        <f t="shared" si="13"/>
        <v>0</v>
      </c>
      <c r="HS5" s="292">
        <f t="shared" si="13"/>
        <v>0</v>
      </c>
      <c r="HT5" s="292">
        <f t="shared" si="13"/>
        <v>0</v>
      </c>
      <c r="HU5" s="293">
        <f t="shared" si="13"/>
        <v>0</v>
      </c>
      <c r="HV5" s="291">
        <f t="shared" si="13"/>
        <v>0</v>
      </c>
      <c r="HW5" s="292">
        <f t="shared" si="13"/>
        <v>0</v>
      </c>
      <c r="HX5" s="292">
        <f t="shared" si="13"/>
        <v>0</v>
      </c>
      <c r="HY5" s="293">
        <f t="shared" si="13"/>
        <v>0</v>
      </c>
      <c r="HZ5" s="291">
        <f t="shared" si="13"/>
        <v>0</v>
      </c>
      <c r="IA5" s="292">
        <f t="shared" si="13"/>
        <v>0</v>
      </c>
      <c r="IB5" s="292">
        <f t="shared" si="13"/>
        <v>0</v>
      </c>
      <c r="IC5" s="293">
        <f t="shared" si="13"/>
        <v>0</v>
      </c>
      <c r="ID5" s="291">
        <f t="shared" si="13"/>
        <v>0</v>
      </c>
      <c r="IE5" s="292">
        <f t="shared" si="13"/>
        <v>0</v>
      </c>
      <c r="IF5" s="292">
        <f t="shared" si="13"/>
        <v>0</v>
      </c>
      <c r="IG5" s="293">
        <f t="shared" si="13"/>
        <v>0</v>
      </c>
      <c r="IH5" s="291">
        <f t="shared" si="13"/>
        <v>0</v>
      </c>
      <c r="II5" s="292">
        <f t="shared" si="13"/>
        <v>0</v>
      </c>
      <c r="IJ5" s="292">
        <f t="shared" si="13"/>
        <v>0</v>
      </c>
      <c r="IK5" s="293">
        <f t="shared" si="13"/>
        <v>0</v>
      </c>
      <c r="IL5" s="291">
        <f t="shared" si="13"/>
        <v>0</v>
      </c>
      <c r="IM5" s="292">
        <f t="shared" si="13"/>
        <v>0</v>
      </c>
      <c r="IN5" s="292">
        <f t="shared" si="13"/>
        <v>0</v>
      </c>
      <c r="IO5" s="293">
        <f t="shared" si="13"/>
        <v>0</v>
      </c>
      <c r="IP5" s="291">
        <f t="shared" si="13"/>
        <v>0</v>
      </c>
      <c r="IQ5" s="292">
        <f t="shared" si="13"/>
        <v>0</v>
      </c>
      <c r="IR5" s="292">
        <f t="shared" si="13"/>
        <v>0</v>
      </c>
      <c r="IS5" s="293">
        <f t="shared" si="13"/>
        <v>0</v>
      </c>
      <c r="IT5" s="291">
        <f t="shared" si="13"/>
        <v>0</v>
      </c>
      <c r="IU5" s="292">
        <f t="shared" si="13"/>
        <v>0</v>
      </c>
      <c r="IV5" s="292">
        <f t="shared" si="13"/>
        <v>0</v>
      </c>
      <c r="IW5" s="293">
        <f t="shared" si="13"/>
        <v>0</v>
      </c>
      <c r="IX5" s="291">
        <f t="shared" si="13"/>
        <v>0</v>
      </c>
      <c r="IY5" s="292">
        <f t="shared" si="13"/>
        <v>0</v>
      </c>
      <c r="IZ5" s="292">
        <f t="shared" si="13"/>
        <v>0</v>
      </c>
      <c r="JA5" s="293">
        <f t="shared" si="13"/>
        <v>0</v>
      </c>
      <c r="JB5" s="291">
        <f t="shared" si="13"/>
        <v>0</v>
      </c>
      <c r="JC5" s="292">
        <f t="shared" si="13"/>
        <v>0</v>
      </c>
      <c r="JD5" s="292">
        <f t="shared" si="13"/>
        <v>0</v>
      </c>
      <c r="JE5" s="293">
        <f t="shared" si="13"/>
        <v>0</v>
      </c>
      <c r="JF5" s="291">
        <f t="shared" si="13"/>
        <v>0</v>
      </c>
      <c r="JG5" s="292">
        <f t="shared" si="13"/>
        <v>0</v>
      </c>
      <c r="JH5" s="292">
        <f t="shared" si="13"/>
        <v>0</v>
      </c>
      <c r="JI5" s="293">
        <f t="shared" si="13"/>
        <v>0</v>
      </c>
      <c r="JJ5" s="291">
        <f t="shared" si="13"/>
        <v>0</v>
      </c>
      <c r="JK5" s="292">
        <f t="shared" si="13"/>
        <v>0</v>
      </c>
      <c r="JL5" s="292">
        <f t="shared" si="13"/>
        <v>0</v>
      </c>
      <c r="JM5" s="293">
        <f t="shared" si="13"/>
        <v>0</v>
      </c>
      <c r="JN5" s="291">
        <f t="shared" si="13"/>
        <v>0</v>
      </c>
      <c r="JO5" s="292">
        <f t="shared" si="13"/>
        <v>0</v>
      </c>
      <c r="JP5" s="292">
        <f t="shared" si="13"/>
        <v>0</v>
      </c>
      <c r="JQ5" s="293">
        <f t="shared" si="13"/>
        <v>0</v>
      </c>
      <c r="JR5" s="291">
        <f t="shared" si="13"/>
        <v>0</v>
      </c>
      <c r="JS5" s="292">
        <f t="shared" si="13"/>
        <v>0</v>
      </c>
      <c r="JT5" s="292">
        <f t="shared" si="13"/>
        <v>0</v>
      </c>
      <c r="JU5" s="293">
        <f t="shared" si="13"/>
        <v>0</v>
      </c>
    </row>
    <row r="6" spans="1:281">
      <c r="A6" s="295">
        <f>K15</f>
        <v>0</v>
      </c>
      <c r="B6" s="275">
        <f t="shared" ref="B6:H6" si="14">(Q15*jodrate)+(Q16*eurrate)+(Q17/usdrate)+Q18</f>
        <v>0</v>
      </c>
      <c r="C6" s="275">
        <f t="shared" si="14"/>
        <v>0</v>
      </c>
      <c r="D6" s="275">
        <f t="shared" si="14"/>
        <v>0</v>
      </c>
      <c r="E6" s="275">
        <f t="shared" si="14"/>
        <v>0</v>
      </c>
      <c r="F6" s="275">
        <f t="shared" si="14"/>
        <v>0</v>
      </c>
      <c r="G6" s="275">
        <f t="shared" si="14"/>
        <v>0</v>
      </c>
      <c r="H6" s="275">
        <f t="shared" si="14"/>
        <v>0</v>
      </c>
      <c r="I6" s="275"/>
      <c r="J6" s="266"/>
      <c r="K6" s="1445"/>
      <c r="L6" s="296" t="s">
        <v>22</v>
      </c>
      <c r="M6" s="283"/>
      <c r="N6" s="56" t="s">
        <v>53</v>
      </c>
      <c r="O6" s="283"/>
      <c r="P6" s="57">
        <f t="shared" si="3"/>
        <v>0</v>
      </c>
      <c r="Q6" s="284">
        <f>BI5</f>
        <v>0</v>
      </c>
      <c r="R6" s="284">
        <f>AC5-AS5-Q6-U6</f>
        <v>0</v>
      </c>
      <c r="S6" s="284">
        <f t="shared" si="1"/>
        <v>0</v>
      </c>
      <c r="T6" s="284">
        <f t="shared" si="4"/>
        <v>0</v>
      </c>
      <c r="U6" s="284">
        <f>BY5</f>
        <v>0</v>
      </c>
      <c r="V6" s="290"/>
      <c r="W6" s="290"/>
      <c r="X6" s="266"/>
      <c r="Y6" s="297"/>
      <c r="Z6" s="298"/>
      <c r="AA6" s="299"/>
      <c r="AB6" s="299"/>
      <c r="AC6" s="300"/>
      <c r="AD6" s="298"/>
      <c r="AE6" s="299"/>
      <c r="AF6" s="299"/>
      <c r="AG6" s="300"/>
      <c r="AH6" s="298"/>
      <c r="AI6" s="299"/>
      <c r="AJ6" s="299"/>
      <c r="AK6" s="300"/>
      <c r="AL6" s="298"/>
      <c r="AM6" s="299"/>
      <c r="AN6" s="299"/>
      <c r="AO6" s="300"/>
      <c r="AP6" s="298"/>
      <c r="AQ6" s="299"/>
      <c r="AR6" s="299"/>
      <c r="AS6" s="300"/>
      <c r="AT6" s="298"/>
      <c r="AU6" s="299"/>
      <c r="AV6" s="299"/>
      <c r="AW6" s="300"/>
      <c r="AX6" s="298"/>
      <c r="AY6" s="299"/>
      <c r="AZ6" s="299"/>
      <c r="BA6" s="300"/>
      <c r="BB6" s="298"/>
      <c r="BC6" s="299"/>
      <c r="BD6" s="299"/>
      <c r="BE6" s="300"/>
      <c r="BF6" s="298"/>
      <c r="BG6" s="299"/>
      <c r="BH6" s="299"/>
      <c r="BI6" s="300"/>
      <c r="BJ6" s="298"/>
      <c r="BK6" s="299"/>
      <c r="BL6" s="299"/>
      <c r="BM6" s="300"/>
      <c r="BN6" s="298"/>
      <c r="BO6" s="299"/>
      <c r="BP6" s="299"/>
      <c r="BQ6" s="300"/>
      <c r="BR6" s="298"/>
      <c r="BS6" s="299"/>
      <c r="BT6" s="299"/>
      <c r="BU6" s="300"/>
      <c r="BV6" s="298"/>
      <c r="BW6" s="299"/>
      <c r="BX6" s="299"/>
      <c r="BY6" s="300"/>
      <c r="BZ6" s="298"/>
      <c r="CA6" s="299"/>
      <c r="CB6" s="299"/>
      <c r="CC6" s="300"/>
      <c r="CD6" s="298"/>
      <c r="CE6" s="299"/>
      <c r="CF6" s="299"/>
      <c r="CG6" s="300"/>
      <c r="CH6" s="298"/>
      <c r="CI6" s="299"/>
      <c r="CJ6" s="299"/>
      <c r="CK6" s="301"/>
      <c r="CL6" s="302"/>
      <c r="CM6" s="299"/>
      <c r="CN6" s="299"/>
      <c r="CO6" s="300"/>
      <c r="CP6" s="298"/>
      <c r="CQ6" s="299"/>
      <c r="CR6" s="299"/>
      <c r="CS6" s="300"/>
      <c r="CT6" s="298"/>
      <c r="CU6" s="299"/>
      <c r="CV6" s="299"/>
      <c r="CW6" s="300"/>
      <c r="CX6" s="298"/>
      <c r="CY6" s="299"/>
      <c r="CZ6" s="299"/>
      <c r="DA6" s="300"/>
      <c r="DB6" s="298"/>
      <c r="DC6" s="299"/>
      <c r="DD6" s="299"/>
      <c r="DE6" s="300"/>
      <c r="DF6" s="298"/>
      <c r="DG6" s="299"/>
      <c r="DH6" s="299"/>
      <c r="DI6" s="300"/>
      <c r="DJ6" s="298"/>
      <c r="DK6" s="299"/>
      <c r="DL6" s="299"/>
      <c r="DM6" s="300"/>
      <c r="DN6" s="298"/>
      <c r="DO6" s="299"/>
      <c r="DP6" s="299"/>
      <c r="DQ6" s="300"/>
      <c r="DR6" s="298"/>
      <c r="DS6" s="299"/>
      <c r="DT6" s="299"/>
      <c r="DU6" s="300"/>
      <c r="DV6" s="298"/>
      <c r="DW6" s="299"/>
      <c r="DX6" s="299"/>
      <c r="DY6" s="300"/>
      <c r="DZ6" s="298"/>
      <c r="EA6" s="299"/>
      <c r="EB6" s="299"/>
      <c r="EC6" s="300"/>
      <c r="ED6" s="298"/>
      <c r="EE6" s="299"/>
      <c r="EF6" s="299"/>
      <c r="EG6" s="300"/>
      <c r="EH6" s="298"/>
      <c r="EI6" s="299"/>
      <c r="EJ6" s="299"/>
      <c r="EK6" s="300"/>
      <c r="EL6" s="298"/>
      <c r="EM6" s="299"/>
      <c r="EN6" s="299"/>
      <c r="EO6" s="300"/>
      <c r="EP6" s="298"/>
      <c r="EQ6" s="299"/>
      <c r="ER6" s="299"/>
      <c r="ES6" s="300"/>
      <c r="ET6" s="298"/>
      <c r="EU6" s="299"/>
      <c r="EV6" s="299"/>
      <c r="EW6" s="301"/>
      <c r="EX6" s="302"/>
      <c r="EY6" s="299"/>
      <c r="EZ6" s="299"/>
      <c r="FA6" s="300"/>
      <c r="FB6" s="298"/>
      <c r="FC6" s="299"/>
      <c r="FD6" s="299"/>
      <c r="FE6" s="300"/>
      <c r="FF6" s="298"/>
      <c r="FG6" s="299"/>
      <c r="FH6" s="299"/>
      <c r="FI6" s="300"/>
      <c r="FJ6" s="298"/>
      <c r="FK6" s="299"/>
      <c r="FL6" s="299"/>
      <c r="FM6" s="300"/>
      <c r="FN6" s="298"/>
      <c r="FO6" s="299"/>
      <c r="FP6" s="299"/>
      <c r="FQ6" s="300"/>
      <c r="FR6" s="298"/>
      <c r="FS6" s="299"/>
      <c r="FT6" s="299"/>
      <c r="FU6" s="300"/>
      <c r="FV6" s="298"/>
      <c r="FW6" s="299"/>
      <c r="FX6" s="299"/>
      <c r="FY6" s="300"/>
      <c r="FZ6" s="298"/>
      <c r="GA6" s="299"/>
      <c r="GB6" s="299"/>
      <c r="GC6" s="300"/>
      <c r="GD6" s="298"/>
      <c r="GE6" s="299"/>
      <c r="GF6" s="299"/>
      <c r="GG6" s="300"/>
      <c r="GH6" s="298"/>
      <c r="GI6" s="299"/>
      <c r="GJ6" s="299"/>
      <c r="GK6" s="300"/>
      <c r="GL6" s="298"/>
      <c r="GM6" s="299"/>
      <c r="GN6" s="299"/>
      <c r="GO6" s="300"/>
      <c r="GP6" s="298"/>
      <c r="GQ6" s="299"/>
      <c r="GR6" s="299"/>
      <c r="GS6" s="300"/>
      <c r="GT6" s="298"/>
      <c r="GU6" s="299"/>
      <c r="GV6" s="299"/>
      <c r="GW6" s="300"/>
      <c r="GX6" s="298"/>
      <c r="GY6" s="299"/>
      <c r="GZ6" s="299"/>
      <c r="HA6" s="300"/>
      <c r="HB6" s="298"/>
      <c r="HC6" s="299"/>
      <c r="HD6" s="299"/>
      <c r="HE6" s="300"/>
      <c r="HF6" s="298"/>
      <c r="HG6" s="299"/>
      <c r="HH6" s="299"/>
      <c r="HI6" s="301"/>
      <c r="HJ6" s="302"/>
      <c r="HK6" s="299"/>
      <c r="HL6" s="299"/>
      <c r="HM6" s="300"/>
      <c r="HN6" s="298"/>
      <c r="HO6" s="299"/>
      <c r="HP6" s="299"/>
      <c r="HQ6" s="300"/>
      <c r="HR6" s="298"/>
      <c r="HS6" s="299"/>
      <c r="HT6" s="299"/>
      <c r="HU6" s="300"/>
      <c r="HV6" s="298"/>
      <c r="HW6" s="299"/>
      <c r="HX6" s="299"/>
      <c r="HY6" s="300"/>
      <c r="HZ6" s="298"/>
      <c r="IA6" s="299"/>
      <c r="IB6" s="299"/>
      <c r="IC6" s="300"/>
      <c r="ID6" s="298"/>
      <c r="IE6" s="299"/>
      <c r="IF6" s="299"/>
      <c r="IG6" s="300"/>
      <c r="IH6" s="298"/>
      <c r="II6" s="299"/>
      <c r="IJ6" s="299"/>
      <c r="IK6" s="300"/>
      <c r="IL6" s="298"/>
      <c r="IM6" s="299"/>
      <c r="IN6" s="299"/>
      <c r="IO6" s="300"/>
      <c r="IP6" s="298"/>
      <c r="IQ6" s="299"/>
      <c r="IR6" s="299"/>
      <c r="IS6" s="300"/>
      <c r="IT6" s="298"/>
      <c r="IU6" s="299"/>
      <c r="IV6" s="299"/>
      <c r="IW6" s="300"/>
      <c r="IX6" s="298"/>
      <c r="IY6" s="299"/>
      <c r="IZ6" s="299"/>
      <c r="JA6" s="300"/>
      <c r="JB6" s="298"/>
      <c r="JC6" s="299"/>
      <c r="JD6" s="299"/>
      <c r="JE6" s="300"/>
      <c r="JF6" s="298"/>
      <c r="JG6" s="299"/>
      <c r="JH6" s="299"/>
      <c r="JI6" s="300"/>
      <c r="JJ6" s="298"/>
      <c r="JK6" s="299"/>
      <c r="JL6" s="299"/>
      <c r="JM6" s="300"/>
      <c r="JN6" s="298"/>
      <c r="JO6" s="299"/>
      <c r="JP6" s="299"/>
      <c r="JQ6" s="300"/>
      <c r="JR6" s="298"/>
      <c r="JS6" s="299"/>
      <c r="JT6" s="299"/>
      <c r="JU6" s="300"/>
    </row>
    <row r="7" spans="1:281">
      <c r="A7" s="303" t="s">
        <v>234</v>
      </c>
      <c r="B7" s="304">
        <f t="shared" ref="B7:H7" si="15">SUM(B3:B6)</f>
        <v>0</v>
      </c>
      <c r="C7" s="304">
        <f t="shared" si="15"/>
        <v>0</v>
      </c>
      <c r="D7" s="304">
        <f t="shared" si="15"/>
        <v>0</v>
      </c>
      <c r="E7" s="304">
        <f t="shared" si="15"/>
        <v>0</v>
      </c>
      <c r="F7" s="304">
        <f t="shared" si="15"/>
        <v>0</v>
      </c>
      <c r="G7" s="304">
        <f t="shared" si="15"/>
        <v>0</v>
      </c>
      <c r="H7" s="304">
        <f t="shared" si="15"/>
        <v>0</v>
      </c>
      <c r="I7" s="275"/>
      <c r="J7" s="266"/>
      <c r="K7" s="1439"/>
      <c r="L7" s="305" t="s">
        <v>28</v>
      </c>
      <c r="M7" s="306"/>
      <c r="N7" s="307" t="s">
        <v>53</v>
      </c>
      <c r="O7" s="306"/>
      <c r="P7" s="308">
        <f t="shared" si="3"/>
        <v>0</v>
      </c>
      <c r="Q7" s="309">
        <f>BJ5</f>
        <v>0</v>
      </c>
      <c r="R7" s="309">
        <f>AD5-AT5-Q7-U7</f>
        <v>0</v>
      </c>
      <c r="S7" s="309">
        <f t="shared" si="1"/>
        <v>0</v>
      </c>
      <c r="T7" s="309">
        <f t="shared" si="4"/>
        <v>0</v>
      </c>
      <c r="U7" s="309">
        <f>BZ5</f>
        <v>0</v>
      </c>
      <c r="V7" s="310"/>
      <c r="W7" s="310"/>
      <c r="X7" s="266"/>
    </row>
    <row r="8" spans="1:281">
      <c r="K8" s="1440"/>
      <c r="L8" s="59" t="s">
        <v>29</v>
      </c>
      <c r="M8" s="320"/>
      <c r="N8" s="56" t="s">
        <v>53</v>
      </c>
      <c r="O8" s="283"/>
      <c r="P8" s="57">
        <f t="shared" si="3"/>
        <v>0</v>
      </c>
      <c r="Q8" s="284">
        <f>BK5</f>
        <v>0</v>
      </c>
      <c r="R8" s="284">
        <f>AE5-AU5-Q8-U8</f>
        <v>0</v>
      </c>
      <c r="S8" s="284">
        <f t="shared" si="1"/>
        <v>0</v>
      </c>
      <c r="T8" s="284">
        <f t="shared" si="4"/>
        <v>0</v>
      </c>
      <c r="U8" s="284">
        <f>CA5</f>
        <v>0</v>
      </c>
      <c r="V8" s="285"/>
      <c r="W8" s="285"/>
    </row>
    <row r="9" spans="1:281">
      <c r="A9" s="1442">
        <f>A1</f>
        <v>0</v>
      </c>
      <c r="B9" s="1442"/>
      <c r="C9" s="1442"/>
      <c r="D9" s="321" t="s">
        <v>235</v>
      </c>
      <c r="E9" s="322"/>
      <c r="F9" s="318"/>
      <c r="K9" s="1440"/>
      <c r="L9" s="59" t="s">
        <v>4</v>
      </c>
      <c r="M9" s="320"/>
      <c r="N9" s="56" t="s">
        <v>53</v>
      </c>
      <c r="O9" s="283"/>
      <c r="P9" s="57">
        <f t="shared" si="3"/>
        <v>0</v>
      </c>
      <c r="Q9" s="284">
        <f>BL5</f>
        <v>0</v>
      </c>
      <c r="R9" s="284">
        <f>AF5-AV5-Q9-U9</f>
        <v>0</v>
      </c>
      <c r="S9" s="284">
        <f t="shared" si="1"/>
        <v>0</v>
      </c>
      <c r="T9" s="284">
        <f t="shared" si="4"/>
        <v>0</v>
      </c>
      <c r="U9" s="284">
        <f>CB5</f>
        <v>0</v>
      </c>
      <c r="V9" s="285"/>
      <c r="W9" s="285"/>
    </row>
    <row r="10" spans="1:281">
      <c r="A10" s="1443" t="s">
        <v>228</v>
      </c>
      <c r="B10" s="1443"/>
      <c r="C10" s="1443" t="s">
        <v>236</v>
      </c>
      <c r="D10" s="1443"/>
      <c r="E10" s="1443" t="s">
        <v>237</v>
      </c>
      <c r="F10" s="1443"/>
      <c r="K10" s="1441"/>
      <c r="L10" s="323" t="s">
        <v>22</v>
      </c>
      <c r="M10" s="324"/>
      <c r="N10" s="325" t="s">
        <v>53</v>
      </c>
      <c r="O10" s="326"/>
      <c r="P10" s="327">
        <f t="shared" si="3"/>
        <v>0</v>
      </c>
      <c r="Q10" s="328">
        <f>BM5</f>
        <v>0</v>
      </c>
      <c r="R10" s="328">
        <f>AG5-AW5-Q10-U10</f>
        <v>0</v>
      </c>
      <c r="S10" s="328">
        <f t="shared" si="1"/>
        <v>0</v>
      </c>
      <c r="T10" s="328">
        <f t="shared" si="4"/>
        <v>0</v>
      </c>
      <c r="U10" s="328">
        <f>CC5</f>
        <v>0</v>
      </c>
      <c r="V10" s="329"/>
      <c r="W10" s="329"/>
    </row>
    <row r="11" spans="1:281">
      <c r="A11" s="1446"/>
      <c r="B11" s="1446"/>
      <c r="C11" s="1447"/>
      <c r="D11" s="1447"/>
      <c r="E11" s="1448">
        <v>0</v>
      </c>
      <c r="F11" s="1448"/>
      <c r="K11" s="1439"/>
      <c r="L11" s="305" t="s">
        <v>28</v>
      </c>
      <c r="M11" s="330"/>
      <c r="N11" s="307" t="s">
        <v>53</v>
      </c>
      <c r="O11" s="330"/>
      <c r="P11" s="308">
        <f t="shared" si="3"/>
        <v>0</v>
      </c>
      <c r="Q11" s="309">
        <f>BN5</f>
        <v>0</v>
      </c>
      <c r="R11" s="309">
        <f>AH5-AX5-Q11-U11</f>
        <v>0</v>
      </c>
      <c r="S11" s="309">
        <f t="shared" si="1"/>
        <v>0</v>
      </c>
      <c r="T11" s="309">
        <f t="shared" si="4"/>
        <v>0</v>
      </c>
      <c r="U11" s="309">
        <f>CD5</f>
        <v>0</v>
      </c>
      <c r="V11" s="310"/>
      <c r="W11" s="310"/>
    </row>
    <row r="12" spans="1:281">
      <c r="A12" s="1446"/>
      <c r="B12" s="1446"/>
      <c r="C12" s="1447"/>
      <c r="D12" s="1447"/>
      <c r="E12" s="1448">
        <v>0</v>
      </c>
      <c r="F12" s="1448"/>
      <c r="K12" s="1440"/>
      <c r="L12" s="59" t="s">
        <v>29</v>
      </c>
      <c r="M12" s="283"/>
      <c r="N12" s="56" t="s">
        <v>53</v>
      </c>
      <c r="O12" s="283"/>
      <c r="P12" s="57">
        <f t="shared" si="3"/>
        <v>0</v>
      </c>
      <c r="Q12" s="284">
        <f>BO5</f>
        <v>0</v>
      </c>
      <c r="R12" s="284">
        <f>AI5-AY5-Q12-U12</f>
        <v>0</v>
      </c>
      <c r="S12" s="284">
        <f t="shared" si="1"/>
        <v>0</v>
      </c>
      <c r="T12" s="284">
        <f t="shared" si="4"/>
        <v>0</v>
      </c>
      <c r="U12" s="284">
        <f>CE5</f>
        <v>0</v>
      </c>
      <c r="V12" s="285"/>
      <c r="W12" s="285"/>
    </row>
    <row r="13" spans="1:281">
      <c r="A13" s="1446"/>
      <c r="B13" s="1446"/>
      <c r="C13" s="1447"/>
      <c r="D13" s="1447"/>
      <c r="E13" s="1448">
        <v>0</v>
      </c>
      <c r="F13" s="1448"/>
      <c r="K13" s="1440"/>
      <c r="L13" s="59" t="s">
        <v>4</v>
      </c>
      <c r="M13" s="283"/>
      <c r="N13" s="56" t="s">
        <v>53</v>
      </c>
      <c r="O13" s="283"/>
      <c r="P13" s="57">
        <f t="shared" si="3"/>
        <v>0</v>
      </c>
      <c r="Q13" s="284">
        <f>BP5</f>
        <v>0</v>
      </c>
      <c r="R13" s="284">
        <f>AJ5-AZ5-Q13-U13</f>
        <v>0</v>
      </c>
      <c r="S13" s="284">
        <f t="shared" si="1"/>
        <v>0</v>
      </c>
      <c r="T13" s="284">
        <f t="shared" si="4"/>
        <v>0</v>
      </c>
      <c r="U13" s="284">
        <f>CF5</f>
        <v>0</v>
      </c>
      <c r="V13" s="285"/>
      <c r="W13" s="285"/>
    </row>
    <row r="14" spans="1:281">
      <c r="A14" s="1446"/>
      <c r="B14" s="1446"/>
      <c r="C14" s="1447"/>
      <c r="D14" s="1447"/>
      <c r="E14" s="1448">
        <v>0</v>
      </c>
      <c r="F14" s="1448"/>
      <c r="K14" s="1441"/>
      <c r="L14" s="323" t="s">
        <v>22</v>
      </c>
      <c r="M14" s="326"/>
      <c r="N14" s="325" t="s">
        <v>53</v>
      </c>
      <c r="O14" s="326"/>
      <c r="P14" s="327">
        <f t="shared" si="3"/>
        <v>0</v>
      </c>
      <c r="Q14" s="328">
        <f>BQ5</f>
        <v>0</v>
      </c>
      <c r="R14" s="328">
        <f>AK5-BA5-Q14-U14</f>
        <v>0</v>
      </c>
      <c r="S14" s="328">
        <f t="shared" si="1"/>
        <v>0</v>
      </c>
      <c r="T14" s="328">
        <f t="shared" si="4"/>
        <v>0</v>
      </c>
      <c r="U14" s="328">
        <f>CG5</f>
        <v>0</v>
      </c>
      <c r="V14" s="329"/>
      <c r="W14" s="329"/>
    </row>
    <row r="15" spans="1:281">
      <c r="A15" s="1446"/>
      <c r="B15" s="1446"/>
      <c r="C15" s="1447"/>
      <c r="D15" s="1447"/>
      <c r="E15" s="1448">
        <v>0</v>
      </c>
      <c r="F15" s="1448"/>
      <c r="K15" s="1439"/>
      <c r="L15" s="305" t="s">
        <v>28</v>
      </c>
      <c r="M15" s="330"/>
      <c r="N15" s="307" t="s">
        <v>53</v>
      </c>
      <c r="O15" s="330"/>
      <c r="P15" s="308">
        <f t="shared" si="3"/>
        <v>0</v>
      </c>
      <c r="Q15" s="309">
        <f>BR5</f>
        <v>0</v>
      </c>
      <c r="R15" s="309">
        <f>AL5-BB5-Q15-U15</f>
        <v>0</v>
      </c>
      <c r="S15" s="309">
        <f t="shared" si="1"/>
        <v>0</v>
      </c>
      <c r="T15" s="309">
        <f t="shared" si="4"/>
        <v>0</v>
      </c>
      <c r="U15" s="309">
        <f>CH5</f>
        <v>0</v>
      </c>
      <c r="V15" s="310"/>
      <c r="W15" s="310"/>
    </row>
    <row r="16" spans="1:281">
      <c r="A16" s="1446"/>
      <c r="B16" s="1446"/>
      <c r="C16" s="1451"/>
      <c r="D16" s="1451"/>
      <c r="E16" s="1448">
        <v>0</v>
      </c>
      <c r="F16" s="1448"/>
      <c r="K16" s="1440"/>
      <c r="L16" s="59" t="s">
        <v>29</v>
      </c>
      <c r="M16" s="283"/>
      <c r="N16" s="56" t="s">
        <v>53</v>
      </c>
      <c r="O16" s="283"/>
      <c r="P16" s="57">
        <f t="shared" si="3"/>
        <v>0</v>
      </c>
      <c r="Q16" s="284">
        <f>BS5</f>
        <v>0</v>
      </c>
      <c r="R16" s="284">
        <f>AM5-BC5-Q16-U16</f>
        <v>0</v>
      </c>
      <c r="S16" s="284">
        <f t="shared" si="1"/>
        <v>0</v>
      </c>
      <c r="T16" s="284">
        <f t="shared" si="4"/>
        <v>0</v>
      </c>
      <c r="U16" s="284">
        <f>CI5</f>
        <v>0</v>
      </c>
      <c r="V16" s="285"/>
      <c r="W16" s="285"/>
    </row>
    <row r="17" spans="1:23">
      <c r="A17" s="1446"/>
      <c r="B17" s="1446"/>
      <c r="C17" s="1446"/>
      <c r="D17" s="1446"/>
      <c r="E17" s="1448">
        <v>0</v>
      </c>
      <c r="F17" s="1448"/>
      <c r="K17" s="1440"/>
      <c r="L17" s="59" t="s">
        <v>4</v>
      </c>
      <c r="M17" s="283"/>
      <c r="N17" s="56" t="s">
        <v>53</v>
      </c>
      <c r="O17" s="283"/>
      <c r="P17" s="57">
        <f t="shared" si="3"/>
        <v>0</v>
      </c>
      <c r="Q17" s="284">
        <f>BT5</f>
        <v>0</v>
      </c>
      <c r="R17" s="284">
        <f>AN5-BD5-Q17-U17</f>
        <v>0</v>
      </c>
      <c r="S17" s="284">
        <f t="shared" si="1"/>
        <v>0</v>
      </c>
      <c r="T17" s="284">
        <f t="shared" si="4"/>
        <v>0</v>
      </c>
      <c r="U17" s="284">
        <f>CJ5</f>
        <v>0</v>
      </c>
      <c r="V17" s="285"/>
      <c r="W17" s="285"/>
    </row>
    <row r="18" spans="1:23">
      <c r="A18" s="1452" t="s">
        <v>5</v>
      </c>
      <c r="B18" s="1452"/>
      <c r="C18" s="1452"/>
      <c r="D18" s="1452"/>
      <c r="E18" s="1453">
        <f>SUM(E11:F17)</f>
        <v>0</v>
      </c>
      <c r="F18" s="1453"/>
      <c r="K18" s="1441"/>
      <c r="L18" s="323" t="s">
        <v>22</v>
      </c>
      <c r="M18" s="326"/>
      <c r="N18" s="325" t="s">
        <v>53</v>
      </c>
      <c r="O18" s="326"/>
      <c r="P18" s="327">
        <f t="shared" si="3"/>
        <v>0</v>
      </c>
      <c r="Q18" s="328">
        <f>BU5</f>
        <v>0</v>
      </c>
      <c r="R18" s="328">
        <f>AO5-BE5-Q18-U18</f>
        <v>0</v>
      </c>
      <c r="S18" s="328">
        <f t="shared" si="1"/>
        <v>0</v>
      </c>
      <c r="T18" s="328">
        <f t="shared" si="4"/>
        <v>0</v>
      </c>
      <c r="U18" s="328">
        <f>CK5</f>
        <v>0</v>
      </c>
      <c r="V18" s="329"/>
      <c r="W18" s="329"/>
    </row>
    <row r="19" spans="1:23">
      <c r="A19" s="331"/>
      <c r="B19" s="332"/>
      <c r="C19" s="332"/>
      <c r="D19" s="332"/>
      <c r="E19" s="332"/>
      <c r="F19" s="332"/>
      <c r="G19" s="332"/>
      <c r="H19" s="332"/>
      <c r="I19" s="332"/>
      <c r="K19" s="615"/>
      <c r="L19" s="332"/>
      <c r="M19" s="332"/>
      <c r="N19" s="332"/>
      <c r="O19" s="332"/>
      <c r="P19" s="332"/>
      <c r="Q19" s="332"/>
      <c r="R19" s="332"/>
      <c r="S19" s="332"/>
      <c r="T19" s="332"/>
      <c r="U19" s="332"/>
      <c r="V19" s="332"/>
      <c r="W19" s="332"/>
    </row>
    <row r="20" spans="1:23">
      <c r="M20" s="334"/>
      <c r="N20" s="334"/>
    </row>
    <row r="21" spans="1:23">
      <c r="A21" s="1435">
        <f>K21</f>
        <v>0</v>
      </c>
      <c r="B21" s="1435"/>
      <c r="C21" s="1435"/>
      <c r="D21" s="263" t="e">
        <f>SMALL(M23:M38,1)</f>
        <v>#NUM!</v>
      </c>
      <c r="E21" s="264" t="s">
        <v>53</v>
      </c>
      <c r="F21" s="263" t="e">
        <f>LARGE(O23:O38,1)</f>
        <v>#NUM!</v>
      </c>
      <c r="G21" s="1436" t="str">
        <f>"["&amp;ROUND(LARGE(P23:P38,1),1)&amp;" months]"</f>
        <v>[0 months]</v>
      </c>
      <c r="H21" s="1436"/>
      <c r="I21" s="265"/>
      <c r="J21" s="266"/>
      <c r="K21" s="1437">
        <f>التوصية!B49</f>
        <v>0</v>
      </c>
      <c r="L21" s="1437"/>
      <c r="M21" s="1437"/>
      <c r="N21" s="1437"/>
      <c r="O21" s="1437"/>
      <c r="P21" s="1437"/>
      <c r="Q21" s="1437"/>
      <c r="R21" s="1437"/>
      <c r="S21" s="1437"/>
      <c r="T21" s="1437"/>
      <c r="U21" s="1437"/>
      <c r="V21" s="1437"/>
      <c r="W21" s="1437"/>
    </row>
    <row r="22" spans="1:23" ht="30" customHeight="1">
      <c r="A22" s="269" t="s">
        <v>228</v>
      </c>
      <c r="B22" s="269" t="s">
        <v>229</v>
      </c>
      <c r="C22" s="269" t="s">
        <v>72</v>
      </c>
      <c r="D22" s="269" t="s">
        <v>230</v>
      </c>
      <c r="E22" s="269" t="s">
        <v>16</v>
      </c>
      <c r="F22" s="269" t="s">
        <v>231</v>
      </c>
      <c r="G22" s="269" t="s">
        <v>232</v>
      </c>
      <c r="H22" s="269" t="s">
        <v>233</v>
      </c>
      <c r="I22" s="270"/>
      <c r="J22" s="266"/>
      <c r="K22" s="269" t="s">
        <v>154</v>
      </c>
      <c r="L22" s="269" t="s">
        <v>155</v>
      </c>
      <c r="M22" s="1420" t="s">
        <v>1538</v>
      </c>
      <c r="N22" s="1420"/>
      <c r="O22" s="1420"/>
      <c r="P22" s="269" t="s">
        <v>1539</v>
      </c>
      <c r="Q22" s="269" t="s">
        <v>1540</v>
      </c>
      <c r="R22" s="269" t="s">
        <v>180</v>
      </c>
      <c r="S22" s="269" t="s">
        <v>1541</v>
      </c>
      <c r="T22" s="269" t="s">
        <v>181</v>
      </c>
      <c r="U22" s="269" t="s">
        <v>184</v>
      </c>
      <c r="V22" s="269" t="s">
        <v>182</v>
      </c>
      <c r="W22" s="269" t="s">
        <v>183</v>
      </c>
    </row>
    <row r="23" spans="1:23">
      <c r="A23" s="272">
        <f>K23</f>
        <v>0</v>
      </c>
      <c r="B23" s="273">
        <f t="shared" ref="B23:H23" si="16">(Q23*jodrate)+(Q24*eurrate)+(Q25/usdrate)+Q26</f>
        <v>0</v>
      </c>
      <c r="C23" s="274">
        <f t="shared" si="16"/>
        <v>0</v>
      </c>
      <c r="D23" s="274">
        <f t="shared" si="16"/>
        <v>0</v>
      </c>
      <c r="E23" s="274">
        <f t="shared" si="16"/>
        <v>0</v>
      </c>
      <c r="F23" s="274">
        <f t="shared" si="16"/>
        <v>0</v>
      </c>
      <c r="G23" s="274">
        <f t="shared" si="16"/>
        <v>0</v>
      </c>
      <c r="H23" s="274">
        <f t="shared" si="16"/>
        <v>0</v>
      </c>
      <c r="I23" s="275"/>
      <c r="J23" s="266"/>
      <c r="K23" s="1444"/>
      <c r="L23" s="276" t="s">
        <v>28</v>
      </c>
      <c r="M23" s="277"/>
      <c r="N23" s="278" t="s">
        <v>53</v>
      </c>
      <c r="O23" s="277"/>
      <c r="P23" s="279">
        <f>(O23-M23)/30</f>
        <v>0</v>
      </c>
      <c r="Q23" s="280">
        <f>DR5</f>
        <v>0</v>
      </c>
      <c r="R23" s="280">
        <f>CL5-DB5-Q23-U23</f>
        <v>0</v>
      </c>
      <c r="S23" s="280">
        <f t="shared" ref="S23:S38" si="17">IF(P23=0,0,R23/P23)</f>
        <v>0</v>
      </c>
      <c r="T23" s="280">
        <f>IF(V23+R23-W23&lt;0,0,V23+R23-W23)</f>
        <v>0</v>
      </c>
      <c r="U23" s="280">
        <f>EH5</f>
        <v>0</v>
      </c>
      <c r="V23" s="281"/>
      <c r="W23" s="281"/>
    </row>
    <row r="24" spans="1:23">
      <c r="A24" s="282">
        <f>K27</f>
        <v>0</v>
      </c>
      <c r="B24" s="275">
        <f t="shared" ref="B24:H24" si="18">(Q27*jodrate)+(Q28*eurrate)+(Q29/usdrate)+Q30</f>
        <v>0</v>
      </c>
      <c r="C24" s="275">
        <f t="shared" si="18"/>
        <v>0</v>
      </c>
      <c r="D24" s="275">
        <f t="shared" si="18"/>
        <v>0</v>
      </c>
      <c r="E24" s="275">
        <f t="shared" si="18"/>
        <v>0</v>
      </c>
      <c r="F24" s="275">
        <f t="shared" si="18"/>
        <v>0</v>
      </c>
      <c r="G24" s="275">
        <f t="shared" si="18"/>
        <v>0</v>
      </c>
      <c r="H24" s="275">
        <f t="shared" si="18"/>
        <v>0</v>
      </c>
      <c r="I24" s="275"/>
      <c r="J24" s="266"/>
      <c r="K24" s="1440"/>
      <c r="L24" s="59" t="s">
        <v>29</v>
      </c>
      <c r="M24" s="283"/>
      <c r="N24" s="56" t="s">
        <v>53</v>
      </c>
      <c r="O24" s="283"/>
      <c r="P24" s="57">
        <f t="shared" ref="P24:P38" si="19">(O24-M24)/30</f>
        <v>0</v>
      </c>
      <c r="Q24" s="284">
        <f>DS5</f>
        <v>0</v>
      </c>
      <c r="R24" s="284">
        <f>CM5-DC5-Q24-U24</f>
        <v>0</v>
      </c>
      <c r="S24" s="284">
        <f t="shared" si="17"/>
        <v>0</v>
      </c>
      <c r="T24" s="284">
        <f t="shared" ref="T24:T38" si="20">IF(V24+R24-W24&lt;0,0,V24+R24-W24)</f>
        <v>0</v>
      </c>
      <c r="U24" s="284">
        <f>EI5</f>
        <v>0</v>
      </c>
      <c r="V24" s="285"/>
      <c r="W24" s="285"/>
    </row>
    <row r="25" spans="1:23">
      <c r="A25" s="282">
        <f>K31</f>
        <v>0</v>
      </c>
      <c r="B25" s="275">
        <f t="shared" ref="B25:H25" si="21">(Q31*jodrate)+(Q32*eurrate)+(Q33/usdrate)+Q34</f>
        <v>0</v>
      </c>
      <c r="C25" s="275">
        <f t="shared" si="21"/>
        <v>0</v>
      </c>
      <c r="D25" s="275">
        <f t="shared" si="21"/>
        <v>0</v>
      </c>
      <c r="E25" s="275">
        <f t="shared" si="21"/>
        <v>0</v>
      </c>
      <c r="F25" s="275">
        <f t="shared" si="21"/>
        <v>0</v>
      </c>
      <c r="G25" s="275">
        <f t="shared" si="21"/>
        <v>0</v>
      </c>
      <c r="H25" s="275">
        <f t="shared" si="21"/>
        <v>0</v>
      </c>
      <c r="I25" s="275"/>
      <c r="J25" s="266"/>
      <c r="K25" s="1440"/>
      <c r="L25" s="59" t="s">
        <v>4</v>
      </c>
      <c r="M25" s="283"/>
      <c r="N25" s="56" t="s">
        <v>53</v>
      </c>
      <c r="O25" s="283"/>
      <c r="P25" s="57">
        <f t="shared" si="19"/>
        <v>0</v>
      </c>
      <c r="Q25" s="284">
        <f>DT5</f>
        <v>0</v>
      </c>
      <c r="R25" s="284">
        <f>CN5-DD5-Q25-U25</f>
        <v>0</v>
      </c>
      <c r="S25" s="284">
        <f t="shared" si="17"/>
        <v>0</v>
      </c>
      <c r="T25" s="284">
        <f t="shared" si="20"/>
        <v>0</v>
      </c>
      <c r="U25" s="284">
        <f>EJ5</f>
        <v>0</v>
      </c>
      <c r="V25" s="290"/>
      <c r="W25" s="290"/>
    </row>
    <row r="26" spans="1:23">
      <c r="A26" s="295">
        <f>K35</f>
        <v>0</v>
      </c>
      <c r="B26" s="275">
        <f t="shared" ref="B26:H26" si="22">(Q35*jodrate)+(Q36*eurrate)+(Q37/usdrate)+Q38</f>
        <v>0</v>
      </c>
      <c r="C26" s="275">
        <f t="shared" si="22"/>
        <v>0</v>
      </c>
      <c r="D26" s="275">
        <f t="shared" si="22"/>
        <v>0</v>
      </c>
      <c r="E26" s="275">
        <f t="shared" si="22"/>
        <v>0</v>
      </c>
      <c r="F26" s="275">
        <f t="shared" si="22"/>
        <v>0</v>
      </c>
      <c r="G26" s="275">
        <f t="shared" si="22"/>
        <v>0</v>
      </c>
      <c r="H26" s="275">
        <f t="shared" si="22"/>
        <v>0</v>
      </c>
      <c r="I26" s="275"/>
      <c r="J26" s="266"/>
      <c r="K26" s="1445"/>
      <c r="L26" s="296" t="s">
        <v>22</v>
      </c>
      <c r="M26" s="283"/>
      <c r="N26" s="56" t="s">
        <v>53</v>
      </c>
      <c r="O26" s="283"/>
      <c r="P26" s="57">
        <f t="shared" si="19"/>
        <v>0</v>
      </c>
      <c r="Q26" s="284">
        <f>DU5</f>
        <v>0</v>
      </c>
      <c r="R26" s="284">
        <f>CO5-DE5-Q26-U26</f>
        <v>0</v>
      </c>
      <c r="S26" s="284">
        <f t="shared" si="17"/>
        <v>0</v>
      </c>
      <c r="T26" s="284">
        <f t="shared" si="20"/>
        <v>0</v>
      </c>
      <c r="U26" s="284">
        <f>EK5</f>
        <v>0</v>
      </c>
      <c r="V26" s="290"/>
      <c r="W26" s="290"/>
    </row>
    <row r="27" spans="1:23">
      <c r="A27" s="303" t="s">
        <v>234</v>
      </c>
      <c r="B27" s="304">
        <f t="shared" ref="B27:H27" si="23">SUM(B23:B26)</f>
        <v>0</v>
      </c>
      <c r="C27" s="304">
        <f t="shared" si="23"/>
        <v>0</v>
      </c>
      <c r="D27" s="304">
        <f t="shared" si="23"/>
        <v>0</v>
      </c>
      <c r="E27" s="304">
        <f t="shared" si="23"/>
        <v>0</v>
      </c>
      <c r="F27" s="304">
        <f t="shared" si="23"/>
        <v>0</v>
      </c>
      <c r="G27" s="304">
        <f t="shared" si="23"/>
        <v>0</v>
      </c>
      <c r="H27" s="304">
        <f t="shared" si="23"/>
        <v>0</v>
      </c>
      <c r="I27" s="275"/>
      <c r="J27" s="266"/>
      <c r="K27" s="1439"/>
      <c r="L27" s="305" t="s">
        <v>28</v>
      </c>
      <c r="M27" s="306"/>
      <c r="N27" s="307" t="s">
        <v>53</v>
      </c>
      <c r="O27" s="306"/>
      <c r="P27" s="308">
        <f t="shared" si="19"/>
        <v>0</v>
      </c>
      <c r="Q27" s="309">
        <f>DV5</f>
        <v>0</v>
      </c>
      <c r="R27" s="309">
        <f>CP5-DF5-Q27-U27</f>
        <v>0</v>
      </c>
      <c r="S27" s="309">
        <f t="shared" si="17"/>
        <v>0</v>
      </c>
      <c r="T27" s="309">
        <f t="shared" si="20"/>
        <v>0</v>
      </c>
      <c r="U27" s="309">
        <f>EL5</f>
        <v>0</v>
      </c>
      <c r="V27" s="310"/>
      <c r="W27" s="310"/>
    </row>
    <row r="28" spans="1:23">
      <c r="K28" s="1440"/>
      <c r="L28" s="59" t="s">
        <v>29</v>
      </c>
      <c r="M28" s="320"/>
      <c r="N28" s="56" t="s">
        <v>53</v>
      </c>
      <c r="O28" s="283"/>
      <c r="P28" s="57">
        <f t="shared" si="19"/>
        <v>0</v>
      </c>
      <c r="Q28" s="284">
        <f>DW5</f>
        <v>0</v>
      </c>
      <c r="R28" s="284">
        <f>CQ5-DG5-Q28-U28</f>
        <v>0</v>
      </c>
      <c r="S28" s="284">
        <f t="shared" si="17"/>
        <v>0</v>
      </c>
      <c r="T28" s="284">
        <f t="shared" si="20"/>
        <v>0</v>
      </c>
      <c r="U28" s="284">
        <f>EM5</f>
        <v>0</v>
      </c>
      <c r="V28" s="285"/>
      <c r="W28" s="285"/>
    </row>
    <row r="29" spans="1:23">
      <c r="A29" s="1442">
        <f>A21</f>
        <v>0</v>
      </c>
      <c r="B29" s="1442"/>
      <c r="C29" s="1442"/>
      <c r="D29" s="321" t="s">
        <v>235</v>
      </c>
      <c r="E29" s="322"/>
      <c r="F29" s="318"/>
      <c r="K29" s="1440"/>
      <c r="L29" s="59" t="s">
        <v>4</v>
      </c>
      <c r="M29" s="320"/>
      <c r="N29" s="56" t="s">
        <v>53</v>
      </c>
      <c r="O29" s="283"/>
      <c r="P29" s="57">
        <f t="shared" si="19"/>
        <v>0</v>
      </c>
      <c r="Q29" s="284">
        <f>DX5</f>
        <v>0</v>
      </c>
      <c r="R29" s="284">
        <f>CR5-DH5-Q29-U29</f>
        <v>0</v>
      </c>
      <c r="S29" s="284">
        <f t="shared" si="17"/>
        <v>0</v>
      </c>
      <c r="T29" s="284">
        <f t="shared" si="20"/>
        <v>0</v>
      </c>
      <c r="U29" s="284">
        <f>EN5</f>
        <v>0</v>
      </c>
      <c r="V29" s="285"/>
      <c r="W29" s="285"/>
    </row>
    <row r="30" spans="1:23">
      <c r="A30" s="1443" t="s">
        <v>228</v>
      </c>
      <c r="B30" s="1443"/>
      <c r="C30" s="1443" t="s">
        <v>236</v>
      </c>
      <c r="D30" s="1443"/>
      <c r="E30" s="1443" t="s">
        <v>237</v>
      </c>
      <c r="F30" s="1443"/>
      <c r="K30" s="1441"/>
      <c r="L30" s="323" t="s">
        <v>22</v>
      </c>
      <c r="M30" s="324"/>
      <c r="N30" s="325" t="s">
        <v>53</v>
      </c>
      <c r="O30" s="326"/>
      <c r="P30" s="327">
        <f t="shared" si="19"/>
        <v>0</v>
      </c>
      <c r="Q30" s="328">
        <f>DY5</f>
        <v>0</v>
      </c>
      <c r="R30" s="328">
        <f>CS5-DI5-Q30-U30</f>
        <v>0</v>
      </c>
      <c r="S30" s="328">
        <f t="shared" si="17"/>
        <v>0</v>
      </c>
      <c r="T30" s="328">
        <f t="shared" si="20"/>
        <v>0</v>
      </c>
      <c r="U30" s="328">
        <f>EO5</f>
        <v>0</v>
      </c>
      <c r="V30" s="329"/>
      <c r="W30" s="329"/>
    </row>
    <row r="31" spans="1:23">
      <c r="A31" s="1446"/>
      <c r="B31" s="1446"/>
      <c r="C31" s="1447"/>
      <c r="D31" s="1447"/>
      <c r="E31" s="1448">
        <v>0</v>
      </c>
      <c r="F31" s="1448"/>
      <c r="K31" s="1439"/>
      <c r="L31" s="305" t="s">
        <v>28</v>
      </c>
      <c r="M31" s="330"/>
      <c r="N31" s="307" t="s">
        <v>53</v>
      </c>
      <c r="O31" s="330"/>
      <c r="P31" s="308">
        <f t="shared" si="19"/>
        <v>0</v>
      </c>
      <c r="Q31" s="309">
        <f>DZ5</f>
        <v>0</v>
      </c>
      <c r="R31" s="309">
        <f>CT5-DJ5-Q31-U31</f>
        <v>0</v>
      </c>
      <c r="S31" s="309">
        <f t="shared" si="17"/>
        <v>0</v>
      </c>
      <c r="T31" s="309">
        <f t="shared" si="20"/>
        <v>0</v>
      </c>
      <c r="U31" s="309">
        <f>EP5</f>
        <v>0</v>
      </c>
      <c r="V31" s="310"/>
      <c r="W31" s="310"/>
    </row>
    <row r="32" spans="1:23">
      <c r="A32" s="1446"/>
      <c r="B32" s="1446"/>
      <c r="C32" s="1447"/>
      <c r="D32" s="1447"/>
      <c r="E32" s="1448">
        <v>0</v>
      </c>
      <c r="F32" s="1448"/>
      <c r="K32" s="1440"/>
      <c r="L32" s="59" t="s">
        <v>29</v>
      </c>
      <c r="M32" s="283"/>
      <c r="N32" s="56" t="s">
        <v>53</v>
      </c>
      <c r="O32" s="283"/>
      <c r="P32" s="57">
        <f t="shared" si="19"/>
        <v>0</v>
      </c>
      <c r="Q32" s="284">
        <f>EA5</f>
        <v>0</v>
      </c>
      <c r="R32" s="284">
        <f>CU5-DK5-Q32-U32</f>
        <v>0</v>
      </c>
      <c r="S32" s="284">
        <f t="shared" si="17"/>
        <v>0</v>
      </c>
      <c r="T32" s="284">
        <f t="shared" si="20"/>
        <v>0</v>
      </c>
      <c r="U32" s="284">
        <f>EQ5</f>
        <v>0</v>
      </c>
      <c r="V32" s="285"/>
      <c r="W32" s="285"/>
    </row>
    <row r="33" spans="1:23">
      <c r="A33" s="1446"/>
      <c r="B33" s="1446"/>
      <c r="C33" s="1447"/>
      <c r="D33" s="1447"/>
      <c r="E33" s="1448">
        <v>0</v>
      </c>
      <c r="F33" s="1448"/>
      <c r="K33" s="1440"/>
      <c r="L33" s="59" t="s">
        <v>4</v>
      </c>
      <c r="M33" s="283"/>
      <c r="N33" s="56" t="s">
        <v>53</v>
      </c>
      <c r="O33" s="283"/>
      <c r="P33" s="57">
        <f t="shared" si="19"/>
        <v>0</v>
      </c>
      <c r="Q33" s="284">
        <f>EB5</f>
        <v>0</v>
      </c>
      <c r="R33" s="284">
        <f>CV5-DL5-Q33-U33</f>
        <v>0</v>
      </c>
      <c r="S33" s="284">
        <f t="shared" si="17"/>
        <v>0</v>
      </c>
      <c r="T33" s="284">
        <f t="shared" si="20"/>
        <v>0</v>
      </c>
      <c r="U33" s="284">
        <f>ER5</f>
        <v>0</v>
      </c>
      <c r="V33" s="285"/>
      <c r="W33" s="285"/>
    </row>
    <row r="34" spans="1:23">
      <c r="A34" s="1446"/>
      <c r="B34" s="1446"/>
      <c r="C34" s="1447"/>
      <c r="D34" s="1447"/>
      <c r="E34" s="1448">
        <v>0</v>
      </c>
      <c r="F34" s="1448"/>
      <c r="K34" s="1441"/>
      <c r="L34" s="323" t="s">
        <v>22</v>
      </c>
      <c r="M34" s="326"/>
      <c r="N34" s="325" t="s">
        <v>53</v>
      </c>
      <c r="O34" s="326"/>
      <c r="P34" s="327">
        <f t="shared" si="19"/>
        <v>0</v>
      </c>
      <c r="Q34" s="328">
        <f>EC5</f>
        <v>0</v>
      </c>
      <c r="R34" s="328">
        <f>CW5-DM5-Q34-U34</f>
        <v>0</v>
      </c>
      <c r="S34" s="328">
        <f t="shared" si="17"/>
        <v>0</v>
      </c>
      <c r="T34" s="328">
        <f t="shared" si="20"/>
        <v>0</v>
      </c>
      <c r="U34" s="328">
        <f>ES5</f>
        <v>0</v>
      </c>
      <c r="V34" s="329"/>
      <c r="W34" s="329"/>
    </row>
    <row r="35" spans="1:23">
      <c r="A35" s="1446"/>
      <c r="B35" s="1446"/>
      <c r="C35" s="1447"/>
      <c r="D35" s="1447"/>
      <c r="E35" s="1448">
        <v>0</v>
      </c>
      <c r="F35" s="1448"/>
      <c r="K35" s="1439"/>
      <c r="L35" s="305" t="s">
        <v>28</v>
      </c>
      <c r="M35" s="330"/>
      <c r="N35" s="307" t="s">
        <v>53</v>
      </c>
      <c r="O35" s="330"/>
      <c r="P35" s="308">
        <f t="shared" si="19"/>
        <v>0</v>
      </c>
      <c r="Q35" s="309">
        <f>ED5</f>
        <v>0</v>
      </c>
      <c r="R35" s="309">
        <f>CX5-DN5-Q35-U35</f>
        <v>0</v>
      </c>
      <c r="S35" s="309">
        <f t="shared" si="17"/>
        <v>0</v>
      </c>
      <c r="T35" s="309">
        <f t="shared" si="20"/>
        <v>0</v>
      </c>
      <c r="U35" s="309">
        <f>ET5</f>
        <v>0</v>
      </c>
      <c r="V35" s="310"/>
      <c r="W35" s="310"/>
    </row>
    <row r="36" spans="1:23">
      <c r="A36" s="1446"/>
      <c r="B36" s="1446"/>
      <c r="C36" s="1451"/>
      <c r="D36" s="1451"/>
      <c r="E36" s="1448">
        <v>0</v>
      </c>
      <c r="F36" s="1448"/>
      <c r="K36" s="1440"/>
      <c r="L36" s="59" t="s">
        <v>29</v>
      </c>
      <c r="M36" s="283"/>
      <c r="N36" s="56" t="s">
        <v>53</v>
      </c>
      <c r="O36" s="283"/>
      <c r="P36" s="57">
        <f t="shared" si="19"/>
        <v>0</v>
      </c>
      <c r="Q36" s="284">
        <f>EE5</f>
        <v>0</v>
      </c>
      <c r="R36" s="284">
        <f>CY5-DO5-Q36-U36</f>
        <v>0</v>
      </c>
      <c r="S36" s="284">
        <f t="shared" si="17"/>
        <v>0</v>
      </c>
      <c r="T36" s="284">
        <f t="shared" si="20"/>
        <v>0</v>
      </c>
      <c r="U36" s="284">
        <f>EU5</f>
        <v>0</v>
      </c>
      <c r="V36" s="285"/>
      <c r="W36" s="285"/>
    </row>
    <row r="37" spans="1:23">
      <c r="A37" s="1446"/>
      <c r="B37" s="1446"/>
      <c r="C37" s="1446"/>
      <c r="D37" s="1446"/>
      <c r="E37" s="1448">
        <v>0</v>
      </c>
      <c r="F37" s="1448"/>
      <c r="K37" s="1440"/>
      <c r="L37" s="59" t="s">
        <v>4</v>
      </c>
      <c r="M37" s="283"/>
      <c r="N37" s="56" t="s">
        <v>53</v>
      </c>
      <c r="O37" s="283"/>
      <c r="P37" s="57">
        <f t="shared" si="19"/>
        <v>0</v>
      </c>
      <c r="Q37" s="284">
        <f>EF5</f>
        <v>0</v>
      </c>
      <c r="R37" s="284">
        <f>CZ5-DP5-Q37-U37</f>
        <v>0</v>
      </c>
      <c r="S37" s="284">
        <f t="shared" si="17"/>
        <v>0</v>
      </c>
      <c r="T37" s="284">
        <f t="shared" si="20"/>
        <v>0</v>
      </c>
      <c r="U37" s="284">
        <f>EV5</f>
        <v>0</v>
      </c>
      <c r="V37" s="285"/>
      <c r="W37" s="285"/>
    </row>
    <row r="38" spans="1:23">
      <c r="A38" s="1452" t="s">
        <v>5</v>
      </c>
      <c r="B38" s="1452"/>
      <c r="C38" s="1452"/>
      <c r="D38" s="1452"/>
      <c r="E38" s="1453">
        <f>SUM(E31:F37)</f>
        <v>0</v>
      </c>
      <c r="F38" s="1453"/>
      <c r="K38" s="1441"/>
      <c r="L38" s="323" t="s">
        <v>22</v>
      </c>
      <c r="M38" s="326"/>
      <c r="N38" s="325" t="s">
        <v>53</v>
      </c>
      <c r="O38" s="326"/>
      <c r="P38" s="327">
        <f t="shared" si="19"/>
        <v>0</v>
      </c>
      <c r="Q38" s="328">
        <f>EG5</f>
        <v>0</v>
      </c>
      <c r="R38" s="328">
        <f>BA5-DQ5-Q38-U38</f>
        <v>0</v>
      </c>
      <c r="S38" s="328">
        <f t="shared" si="17"/>
        <v>0</v>
      </c>
      <c r="T38" s="328">
        <f t="shared" si="20"/>
        <v>0</v>
      </c>
      <c r="U38" s="328">
        <f>EW5</f>
        <v>0</v>
      </c>
      <c r="V38" s="329"/>
      <c r="W38" s="329"/>
    </row>
    <row r="39" spans="1:23">
      <c r="A39" s="331"/>
      <c r="B39" s="332"/>
      <c r="C39" s="332"/>
      <c r="D39" s="332"/>
      <c r="E39" s="332"/>
      <c r="F39" s="332"/>
      <c r="G39" s="332"/>
      <c r="H39" s="332"/>
      <c r="I39" s="332"/>
      <c r="K39" s="615"/>
      <c r="L39" s="332"/>
      <c r="M39" s="332"/>
      <c r="N39" s="332"/>
      <c r="O39" s="332"/>
      <c r="P39" s="332"/>
      <c r="Q39" s="332"/>
      <c r="R39" s="332"/>
      <c r="S39" s="332"/>
      <c r="T39" s="332"/>
      <c r="U39" s="332"/>
      <c r="V39" s="332"/>
      <c r="W39" s="332"/>
    </row>
    <row r="40" spans="1:23">
      <c r="M40" s="334"/>
      <c r="N40" s="334"/>
    </row>
    <row r="41" spans="1:23">
      <c r="A41" s="1435">
        <f>K41</f>
        <v>0</v>
      </c>
      <c r="B41" s="1435"/>
      <c r="C41" s="1435"/>
      <c r="D41" s="263" t="e">
        <f>SMALL(M43:M58,1)</f>
        <v>#NUM!</v>
      </c>
      <c r="E41" s="264" t="s">
        <v>53</v>
      </c>
      <c r="F41" s="263" t="e">
        <f>LARGE(O43:O58,1)</f>
        <v>#NUM!</v>
      </c>
      <c r="G41" s="1436" t="str">
        <f>"["&amp;ROUND(LARGE(P43:P58,1),1)&amp;" months]"</f>
        <v>[0 months]</v>
      </c>
      <c r="H41" s="1436"/>
      <c r="I41" s="265"/>
      <c r="J41" s="266"/>
      <c r="K41" s="1437">
        <f>التوصية!B79</f>
        <v>0</v>
      </c>
      <c r="L41" s="1437"/>
      <c r="M41" s="1437"/>
      <c r="N41" s="1437"/>
      <c r="O41" s="1437"/>
      <c r="P41" s="1437"/>
      <c r="Q41" s="1437"/>
      <c r="R41" s="1437"/>
      <c r="S41" s="1437"/>
      <c r="T41" s="1437"/>
      <c r="U41" s="1437"/>
      <c r="V41" s="1437"/>
      <c r="W41" s="1437"/>
    </row>
    <row r="42" spans="1:23" ht="30" customHeight="1">
      <c r="A42" s="269" t="s">
        <v>228</v>
      </c>
      <c r="B42" s="269" t="s">
        <v>229</v>
      </c>
      <c r="C42" s="269" t="s">
        <v>72</v>
      </c>
      <c r="D42" s="269" t="s">
        <v>230</v>
      </c>
      <c r="E42" s="269" t="s">
        <v>16</v>
      </c>
      <c r="F42" s="269" t="s">
        <v>231</v>
      </c>
      <c r="G42" s="269" t="s">
        <v>232</v>
      </c>
      <c r="H42" s="269" t="s">
        <v>233</v>
      </c>
      <c r="I42" s="270"/>
      <c r="J42" s="266"/>
      <c r="K42" s="269" t="s">
        <v>154</v>
      </c>
      <c r="L42" s="269" t="s">
        <v>155</v>
      </c>
      <c r="M42" s="1420" t="s">
        <v>1538</v>
      </c>
      <c r="N42" s="1420"/>
      <c r="O42" s="1420"/>
      <c r="P42" s="269" t="s">
        <v>1539</v>
      </c>
      <c r="Q42" s="269" t="s">
        <v>1540</v>
      </c>
      <c r="R42" s="269" t="s">
        <v>180</v>
      </c>
      <c r="S42" s="269" t="s">
        <v>1541</v>
      </c>
      <c r="T42" s="269" t="s">
        <v>181</v>
      </c>
      <c r="U42" s="269" t="s">
        <v>184</v>
      </c>
      <c r="V42" s="269" t="s">
        <v>182</v>
      </c>
      <c r="W42" s="269" t="s">
        <v>183</v>
      </c>
    </row>
    <row r="43" spans="1:23">
      <c r="A43" s="272">
        <f>K43</f>
        <v>0</v>
      </c>
      <c r="B43" s="273">
        <f t="shared" ref="B43:H43" si="24">(Q43*jodrate)+(Q44*eurrate)+(Q45/usdrate)+Q46</f>
        <v>0</v>
      </c>
      <c r="C43" s="274">
        <f t="shared" si="24"/>
        <v>0</v>
      </c>
      <c r="D43" s="274">
        <f t="shared" si="24"/>
        <v>0</v>
      </c>
      <c r="E43" s="274">
        <f t="shared" si="24"/>
        <v>0</v>
      </c>
      <c r="F43" s="274">
        <f t="shared" si="24"/>
        <v>0</v>
      </c>
      <c r="G43" s="274">
        <f t="shared" si="24"/>
        <v>0</v>
      </c>
      <c r="H43" s="274">
        <f t="shared" si="24"/>
        <v>0</v>
      </c>
      <c r="I43" s="275"/>
      <c r="J43" s="266"/>
      <c r="K43" s="1444"/>
      <c r="L43" s="276" t="s">
        <v>28</v>
      </c>
      <c r="M43" s="277"/>
      <c r="N43" s="278" t="s">
        <v>53</v>
      </c>
      <c r="O43" s="277"/>
      <c r="P43" s="279">
        <f>(O43-M43)/30</f>
        <v>0</v>
      </c>
      <c r="Q43" s="280">
        <f>GD5</f>
        <v>0</v>
      </c>
      <c r="R43" s="280">
        <f>EX5-FN5-Q43-U43</f>
        <v>0</v>
      </c>
      <c r="S43" s="280">
        <f t="shared" ref="S43:S58" si="25">IF(P43=0,0,R43/P43)</f>
        <v>0</v>
      </c>
      <c r="T43" s="280">
        <f>IF(V43+R43-W43&lt;0,0,V43+R43-W43)</f>
        <v>0</v>
      </c>
      <c r="U43" s="280">
        <f>GT5</f>
        <v>0</v>
      </c>
      <c r="V43" s="281"/>
      <c r="W43" s="281"/>
    </row>
    <row r="44" spans="1:23">
      <c r="A44" s="282">
        <f>K47</f>
        <v>0</v>
      </c>
      <c r="B44" s="275">
        <f t="shared" ref="B44:H44" si="26">(Q47*jodrate)+(Q48*eurrate)+(Q49/usdrate)+Q50</f>
        <v>0</v>
      </c>
      <c r="C44" s="275">
        <f t="shared" si="26"/>
        <v>0</v>
      </c>
      <c r="D44" s="275">
        <f t="shared" si="26"/>
        <v>0</v>
      </c>
      <c r="E44" s="275">
        <f t="shared" si="26"/>
        <v>0</v>
      </c>
      <c r="F44" s="275">
        <f t="shared" si="26"/>
        <v>0</v>
      </c>
      <c r="G44" s="275">
        <f t="shared" si="26"/>
        <v>0</v>
      </c>
      <c r="H44" s="275">
        <f t="shared" si="26"/>
        <v>0</v>
      </c>
      <c r="I44" s="275"/>
      <c r="J44" s="266"/>
      <c r="K44" s="1440"/>
      <c r="L44" s="59" t="s">
        <v>29</v>
      </c>
      <c r="M44" s="283"/>
      <c r="N44" s="56" t="s">
        <v>53</v>
      </c>
      <c r="O44" s="283"/>
      <c r="P44" s="57">
        <f t="shared" ref="P44:P58" si="27">(O44-M44)/30</f>
        <v>0</v>
      </c>
      <c r="Q44" s="284">
        <f>GE5</f>
        <v>0</v>
      </c>
      <c r="R44" s="284">
        <f>EY5-FO5-Q44-U44</f>
        <v>0</v>
      </c>
      <c r="S44" s="284">
        <f t="shared" si="25"/>
        <v>0</v>
      </c>
      <c r="T44" s="284">
        <f t="shared" ref="T44:T58" si="28">IF(V44+R44-W44&lt;0,0,V44+R44-W44)</f>
        <v>0</v>
      </c>
      <c r="U44" s="284">
        <f>GU5</f>
        <v>0</v>
      </c>
      <c r="V44" s="285"/>
      <c r="W44" s="285"/>
    </row>
    <row r="45" spans="1:23">
      <c r="A45" s="282">
        <f>K51</f>
        <v>0</v>
      </c>
      <c r="B45" s="275">
        <f t="shared" ref="B45:H45" si="29">(Q51*jodrate)+(Q52*eurrate)+(Q53/usdrate)+Q54</f>
        <v>0</v>
      </c>
      <c r="C45" s="275">
        <f t="shared" si="29"/>
        <v>0</v>
      </c>
      <c r="D45" s="275">
        <f t="shared" si="29"/>
        <v>0</v>
      </c>
      <c r="E45" s="275">
        <f t="shared" si="29"/>
        <v>0</v>
      </c>
      <c r="F45" s="275">
        <f t="shared" si="29"/>
        <v>0</v>
      </c>
      <c r="G45" s="275">
        <f t="shared" si="29"/>
        <v>0</v>
      </c>
      <c r="H45" s="275">
        <f t="shared" si="29"/>
        <v>0</v>
      </c>
      <c r="I45" s="275"/>
      <c r="J45" s="266"/>
      <c r="K45" s="1440"/>
      <c r="L45" s="59" t="s">
        <v>4</v>
      </c>
      <c r="M45" s="283"/>
      <c r="N45" s="56" t="s">
        <v>53</v>
      </c>
      <c r="O45" s="283"/>
      <c r="P45" s="57">
        <f t="shared" si="27"/>
        <v>0</v>
      </c>
      <c r="Q45" s="284">
        <f>GF5</f>
        <v>0</v>
      </c>
      <c r="R45" s="284">
        <f>EZ5-FP5-Q45-U45</f>
        <v>0</v>
      </c>
      <c r="S45" s="284">
        <f t="shared" si="25"/>
        <v>0</v>
      </c>
      <c r="T45" s="284">
        <f t="shared" si="28"/>
        <v>0</v>
      </c>
      <c r="U45" s="284">
        <f>GV5</f>
        <v>0</v>
      </c>
      <c r="V45" s="290"/>
      <c r="W45" s="290"/>
    </row>
    <row r="46" spans="1:23">
      <c r="A46" s="295">
        <f>K55</f>
        <v>0</v>
      </c>
      <c r="B46" s="275">
        <f t="shared" ref="B46:H46" si="30">(Q55*jodrate)+(Q56*eurrate)+(Q57/usdrate)+Q58</f>
        <v>0</v>
      </c>
      <c r="C46" s="275">
        <f t="shared" si="30"/>
        <v>0</v>
      </c>
      <c r="D46" s="275">
        <f t="shared" si="30"/>
        <v>0</v>
      </c>
      <c r="E46" s="275">
        <f t="shared" si="30"/>
        <v>0</v>
      </c>
      <c r="F46" s="275">
        <f t="shared" si="30"/>
        <v>0</v>
      </c>
      <c r="G46" s="275">
        <f t="shared" si="30"/>
        <v>0</v>
      </c>
      <c r="H46" s="275">
        <f t="shared" si="30"/>
        <v>0</v>
      </c>
      <c r="I46" s="275"/>
      <c r="J46" s="266"/>
      <c r="K46" s="1445"/>
      <c r="L46" s="296" t="s">
        <v>22</v>
      </c>
      <c r="M46" s="283"/>
      <c r="N46" s="56" t="s">
        <v>53</v>
      </c>
      <c r="O46" s="283"/>
      <c r="P46" s="57">
        <f t="shared" si="27"/>
        <v>0</v>
      </c>
      <c r="Q46" s="284">
        <f>GG5</f>
        <v>0</v>
      </c>
      <c r="R46" s="284">
        <f>FA5-FQ5-Q46-U46</f>
        <v>0</v>
      </c>
      <c r="S46" s="284">
        <f t="shared" si="25"/>
        <v>0</v>
      </c>
      <c r="T46" s="284">
        <f t="shared" si="28"/>
        <v>0</v>
      </c>
      <c r="U46" s="284">
        <f>GW5</f>
        <v>0</v>
      </c>
      <c r="V46" s="290"/>
      <c r="W46" s="290"/>
    </row>
    <row r="47" spans="1:23">
      <c r="A47" s="303" t="s">
        <v>234</v>
      </c>
      <c r="B47" s="304">
        <f t="shared" ref="B47:H47" si="31">SUM(B43:B46)</f>
        <v>0</v>
      </c>
      <c r="C47" s="304">
        <f t="shared" si="31"/>
        <v>0</v>
      </c>
      <c r="D47" s="304">
        <f t="shared" si="31"/>
        <v>0</v>
      </c>
      <c r="E47" s="304">
        <f t="shared" si="31"/>
        <v>0</v>
      </c>
      <c r="F47" s="304">
        <f t="shared" si="31"/>
        <v>0</v>
      </c>
      <c r="G47" s="304">
        <f t="shared" si="31"/>
        <v>0</v>
      </c>
      <c r="H47" s="304">
        <f t="shared" si="31"/>
        <v>0</v>
      </c>
      <c r="I47" s="275"/>
      <c r="J47" s="266"/>
      <c r="K47" s="1439"/>
      <c r="L47" s="305" t="s">
        <v>28</v>
      </c>
      <c r="M47" s="306"/>
      <c r="N47" s="307" t="s">
        <v>53</v>
      </c>
      <c r="O47" s="306"/>
      <c r="P47" s="308">
        <f t="shared" si="27"/>
        <v>0</v>
      </c>
      <c r="Q47" s="309">
        <f>GH5</f>
        <v>0</v>
      </c>
      <c r="R47" s="309">
        <f>FB5-FR5-Q47-U47</f>
        <v>0</v>
      </c>
      <c r="S47" s="309">
        <f t="shared" si="25"/>
        <v>0</v>
      </c>
      <c r="T47" s="309">
        <f t="shared" si="28"/>
        <v>0</v>
      </c>
      <c r="U47" s="309">
        <f>GX5</f>
        <v>0</v>
      </c>
      <c r="V47" s="310"/>
      <c r="W47" s="310"/>
    </row>
    <row r="48" spans="1:23">
      <c r="K48" s="1440"/>
      <c r="L48" s="59" t="s">
        <v>29</v>
      </c>
      <c r="M48" s="320"/>
      <c r="N48" s="56" t="s">
        <v>53</v>
      </c>
      <c r="O48" s="283"/>
      <c r="P48" s="57">
        <f t="shared" si="27"/>
        <v>0</v>
      </c>
      <c r="Q48" s="284">
        <f>GI5</f>
        <v>0</v>
      </c>
      <c r="R48" s="284">
        <f>FC5-FS5-Q48-U48</f>
        <v>0</v>
      </c>
      <c r="S48" s="284">
        <f t="shared" si="25"/>
        <v>0</v>
      </c>
      <c r="T48" s="284">
        <f t="shared" si="28"/>
        <v>0</v>
      </c>
      <c r="U48" s="284">
        <f>GY5</f>
        <v>0</v>
      </c>
      <c r="V48" s="285"/>
      <c r="W48" s="285"/>
    </row>
    <row r="49" spans="1:23">
      <c r="A49" s="1442">
        <f>A41</f>
        <v>0</v>
      </c>
      <c r="B49" s="1442"/>
      <c r="C49" s="1442"/>
      <c r="D49" s="321" t="s">
        <v>235</v>
      </c>
      <c r="E49" s="322"/>
      <c r="F49" s="318"/>
      <c r="K49" s="1440"/>
      <c r="L49" s="59" t="s">
        <v>4</v>
      </c>
      <c r="M49" s="320"/>
      <c r="N49" s="56" t="s">
        <v>53</v>
      </c>
      <c r="O49" s="283"/>
      <c r="P49" s="57">
        <f t="shared" si="27"/>
        <v>0</v>
      </c>
      <c r="Q49" s="284">
        <f>GJ5</f>
        <v>0</v>
      </c>
      <c r="R49" s="284">
        <f>FD5-FT5-Q49-U49</f>
        <v>0</v>
      </c>
      <c r="S49" s="284">
        <f t="shared" si="25"/>
        <v>0</v>
      </c>
      <c r="T49" s="284">
        <f t="shared" si="28"/>
        <v>0</v>
      </c>
      <c r="U49" s="284">
        <f>GZ5</f>
        <v>0</v>
      </c>
      <c r="V49" s="285"/>
      <c r="W49" s="285"/>
    </row>
    <row r="50" spans="1:23">
      <c r="A50" s="1443" t="s">
        <v>228</v>
      </c>
      <c r="B50" s="1443"/>
      <c r="C50" s="1443" t="s">
        <v>236</v>
      </c>
      <c r="D50" s="1443"/>
      <c r="E50" s="1443" t="s">
        <v>237</v>
      </c>
      <c r="F50" s="1443"/>
      <c r="K50" s="1441"/>
      <c r="L50" s="323" t="s">
        <v>22</v>
      </c>
      <c r="M50" s="324"/>
      <c r="N50" s="325" t="s">
        <v>53</v>
      </c>
      <c r="O50" s="326"/>
      <c r="P50" s="327">
        <f t="shared" si="27"/>
        <v>0</v>
      </c>
      <c r="Q50" s="328">
        <f>GK5</f>
        <v>0</v>
      </c>
      <c r="R50" s="328">
        <f>FE5-FU5-Q50-U50</f>
        <v>0</v>
      </c>
      <c r="S50" s="328">
        <f t="shared" si="25"/>
        <v>0</v>
      </c>
      <c r="T50" s="328">
        <f t="shared" si="28"/>
        <v>0</v>
      </c>
      <c r="U50" s="328">
        <f>HA5</f>
        <v>0</v>
      </c>
      <c r="V50" s="329"/>
      <c r="W50" s="329"/>
    </row>
    <row r="51" spans="1:23">
      <c r="A51" s="1446"/>
      <c r="B51" s="1446"/>
      <c r="C51" s="1447"/>
      <c r="D51" s="1447"/>
      <c r="E51" s="1448">
        <v>0</v>
      </c>
      <c r="F51" s="1448"/>
      <c r="K51" s="1439"/>
      <c r="L51" s="305" t="s">
        <v>28</v>
      </c>
      <c r="M51" s="330"/>
      <c r="N51" s="307" t="s">
        <v>53</v>
      </c>
      <c r="O51" s="330"/>
      <c r="P51" s="308">
        <f t="shared" si="27"/>
        <v>0</v>
      </c>
      <c r="Q51" s="309">
        <f>GL5</f>
        <v>0</v>
      </c>
      <c r="R51" s="309">
        <f>FF5-FV5-Q51-U51</f>
        <v>0</v>
      </c>
      <c r="S51" s="309">
        <f t="shared" si="25"/>
        <v>0</v>
      </c>
      <c r="T51" s="309">
        <f t="shared" si="28"/>
        <v>0</v>
      </c>
      <c r="U51" s="309">
        <f>HB5</f>
        <v>0</v>
      </c>
      <c r="V51" s="310"/>
      <c r="W51" s="310"/>
    </row>
    <row r="52" spans="1:23">
      <c r="A52" s="1446"/>
      <c r="B52" s="1446"/>
      <c r="C52" s="1447"/>
      <c r="D52" s="1447"/>
      <c r="E52" s="1448">
        <v>0</v>
      </c>
      <c r="F52" s="1448"/>
      <c r="K52" s="1440"/>
      <c r="L52" s="59" t="s">
        <v>29</v>
      </c>
      <c r="M52" s="283"/>
      <c r="N52" s="56" t="s">
        <v>53</v>
      </c>
      <c r="O52" s="283"/>
      <c r="P52" s="57">
        <f t="shared" si="27"/>
        <v>0</v>
      </c>
      <c r="Q52" s="284">
        <f>GM5</f>
        <v>0</v>
      </c>
      <c r="R52" s="284">
        <f>FG5-FW5-Q52-U52</f>
        <v>0</v>
      </c>
      <c r="S52" s="284">
        <f t="shared" si="25"/>
        <v>0</v>
      </c>
      <c r="T52" s="284">
        <f t="shared" si="28"/>
        <v>0</v>
      </c>
      <c r="U52" s="284">
        <f>HC5</f>
        <v>0</v>
      </c>
      <c r="V52" s="285"/>
      <c r="W52" s="285"/>
    </row>
    <row r="53" spans="1:23">
      <c r="A53" s="1446"/>
      <c r="B53" s="1446"/>
      <c r="C53" s="1447"/>
      <c r="D53" s="1447"/>
      <c r="E53" s="1448">
        <v>0</v>
      </c>
      <c r="F53" s="1448"/>
      <c r="K53" s="1440"/>
      <c r="L53" s="59" t="s">
        <v>4</v>
      </c>
      <c r="M53" s="283"/>
      <c r="N53" s="56" t="s">
        <v>53</v>
      </c>
      <c r="O53" s="283"/>
      <c r="P53" s="57">
        <f t="shared" si="27"/>
        <v>0</v>
      </c>
      <c r="Q53" s="284">
        <f>GN5</f>
        <v>0</v>
      </c>
      <c r="R53" s="284">
        <f>FH5-FX5-Q53-U53</f>
        <v>0</v>
      </c>
      <c r="S53" s="284">
        <f t="shared" si="25"/>
        <v>0</v>
      </c>
      <c r="T53" s="284">
        <f t="shared" si="28"/>
        <v>0</v>
      </c>
      <c r="U53" s="284">
        <f>HD5</f>
        <v>0</v>
      </c>
      <c r="V53" s="285"/>
      <c r="W53" s="285"/>
    </row>
    <row r="54" spans="1:23">
      <c r="A54" s="1446"/>
      <c r="B54" s="1446"/>
      <c r="C54" s="1447"/>
      <c r="D54" s="1447"/>
      <c r="E54" s="1448">
        <v>0</v>
      </c>
      <c r="F54" s="1448"/>
      <c r="K54" s="1441"/>
      <c r="L54" s="323" t="s">
        <v>22</v>
      </c>
      <c r="M54" s="326"/>
      <c r="N54" s="325" t="s">
        <v>53</v>
      </c>
      <c r="O54" s="326"/>
      <c r="P54" s="327">
        <f t="shared" si="27"/>
        <v>0</v>
      </c>
      <c r="Q54" s="328">
        <f>GO5</f>
        <v>0</v>
      </c>
      <c r="R54" s="328">
        <f>FI5-FY5-Q54-U54</f>
        <v>0</v>
      </c>
      <c r="S54" s="328">
        <f t="shared" si="25"/>
        <v>0</v>
      </c>
      <c r="T54" s="328">
        <f t="shared" si="28"/>
        <v>0</v>
      </c>
      <c r="U54" s="328">
        <f>HE5</f>
        <v>0</v>
      </c>
      <c r="V54" s="329"/>
      <c r="W54" s="329"/>
    </row>
    <row r="55" spans="1:23">
      <c r="A55" s="1446"/>
      <c r="B55" s="1446"/>
      <c r="C55" s="1447"/>
      <c r="D55" s="1447"/>
      <c r="E55" s="1448">
        <v>0</v>
      </c>
      <c r="F55" s="1448"/>
      <c r="K55" s="1439"/>
      <c r="L55" s="305" t="s">
        <v>28</v>
      </c>
      <c r="M55" s="330"/>
      <c r="N55" s="307" t="s">
        <v>53</v>
      </c>
      <c r="O55" s="330"/>
      <c r="P55" s="308">
        <f t="shared" si="27"/>
        <v>0</v>
      </c>
      <c r="Q55" s="309">
        <f>GP5</f>
        <v>0</v>
      </c>
      <c r="R55" s="309">
        <f>FJ5-FZ5-Q55-U55</f>
        <v>0</v>
      </c>
      <c r="S55" s="309">
        <f t="shared" si="25"/>
        <v>0</v>
      </c>
      <c r="T55" s="309">
        <f t="shared" si="28"/>
        <v>0</v>
      </c>
      <c r="U55" s="309">
        <f>HF5</f>
        <v>0</v>
      </c>
      <c r="V55" s="310"/>
      <c r="W55" s="310"/>
    </row>
    <row r="56" spans="1:23">
      <c r="A56" s="1446"/>
      <c r="B56" s="1446"/>
      <c r="C56" s="1451"/>
      <c r="D56" s="1451"/>
      <c r="E56" s="1448">
        <v>0</v>
      </c>
      <c r="F56" s="1448"/>
      <c r="K56" s="1440"/>
      <c r="L56" s="59" t="s">
        <v>29</v>
      </c>
      <c r="M56" s="283"/>
      <c r="N56" s="56" t="s">
        <v>53</v>
      </c>
      <c r="O56" s="283"/>
      <c r="P56" s="57">
        <f t="shared" si="27"/>
        <v>0</v>
      </c>
      <c r="Q56" s="284">
        <f>GQ5</f>
        <v>0</v>
      </c>
      <c r="R56" s="284">
        <f>FK5-GA5-Q56-U56</f>
        <v>0</v>
      </c>
      <c r="S56" s="284">
        <f t="shared" si="25"/>
        <v>0</v>
      </c>
      <c r="T56" s="284">
        <f t="shared" si="28"/>
        <v>0</v>
      </c>
      <c r="U56" s="284">
        <f>HG5</f>
        <v>0</v>
      </c>
      <c r="V56" s="285"/>
      <c r="W56" s="285"/>
    </row>
    <row r="57" spans="1:23">
      <c r="A57" s="1446"/>
      <c r="B57" s="1446"/>
      <c r="C57" s="1446"/>
      <c r="D57" s="1446"/>
      <c r="E57" s="1448">
        <v>0</v>
      </c>
      <c r="F57" s="1448"/>
      <c r="K57" s="1440"/>
      <c r="L57" s="59" t="s">
        <v>4</v>
      </c>
      <c r="M57" s="283"/>
      <c r="N57" s="56" t="s">
        <v>53</v>
      </c>
      <c r="O57" s="283"/>
      <c r="P57" s="57">
        <f t="shared" si="27"/>
        <v>0</v>
      </c>
      <c r="Q57" s="284">
        <f>GR5</f>
        <v>0</v>
      </c>
      <c r="R57" s="284">
        <f>FL5-GB5-Q57-U57</f>
        <v>0</v>
      </c>
      <c r="S57" s="284">
        <f t="shared" si="25"/>
        <v>0</v>
      </c>
      <c r="T57" s="284">
        <f t="shared" si="28"/>
        <v>0</v>
      </c>
      <c r="U57" s="284">
        <f>HH5</f>
        <v>0</v>
      </c>
      <c r="V57" s="285"/>
      <c r="W57" s="285"/>
    </row>
    <row r="58" spans="1:23">
      <c r="A58" s="1452" t="s">
        <v>5</v>
      </c>
      <c r="B58" s="1452"/>
      <c r="C58" s="1452"/>
      <c r="D58" s="1452"/>
      <c r="E58" s="1453">
        <f>SUM(E51:F57)</f>
        <v>0</v>
      </c>
      <c r="F58" s="1453"/>
      <c r="K58" s="1441"/>
      <c r="L58" s="323" t="s">
        <v>22</v>
      </c>
      <c r="M58" s="326"/>
      <c r="N58" s="325" t="s">
        <v>53</v>
      </c>
      <c r="O58" s="326"/>
      <c r="P58" s="327">
        <f t="shared" si="27"/>
        <v>0</v>
      </c>
      <c r="Q58" s="328">
        <f>GS5</f>
        <v>0</v>
      </c>
      <c r="R58" s="328">
        <f>FM5-GC5-Q58-U58</f>
        <v>0</v>
      </c>
      <c r="S58" s="328">
        <f t="shared" si="25"/>
        <v>0</v>
      </c>
      <c r="T58" s="328">
        <f t="shared" si="28"/>
        <v>0</v>
      </c>
      <c r="U58" s="328">
        <f>HI5</f>
        <v>0</v>
      </c>
      <c r="V58" s="329"/>
      <c r="W58" s="329"/>
    </row>
    <row r="59" spans="1:23">
      <c r="A59" s="331"/>
      <c r="B59" s="332"/>
      <c r="C59" s="332"/>
      <c r="D59" s="332"/>
      <c r="E59" s="332"/>
      <c r="F59" s="332"/>
      <c r="G59" s="332"/>
      <c r="H59" s="332"/>
      <c r="I59" s="332"/>
      <c r="K59" s="615"/>
      <c r="L59" s="332"/>
      <c r="M59" s="332"/>
      <c r="N59" s="332"/>
      <c r="O59" s="332"/>
      <c r="P59" s="332"/>
      <c r="Q59" s="332"/>
      <c r="R59" s="332"/>
      <c r="S59" s="332"/>
      <c r="T59" s="332"/>
      <c r="U59" s="332"/>
      <c r="V59" s="332"/>
      <c r="W59" s="332"/>
    </row>
    <row r="60" spans="1:23">
      <c r="M60" s="334"/>
      <c r="N60" s="334"/>
    </row>
    <row r="61" spans="1:23">
      <c r="A61" s="1435">
        <f>K61</f>
        <v>0</v>
      </c>
      <c r="B61" s="1435"/>
      <c r="C61" s="1435"/>
      <c r="D61" s="263" t="e">
        <f>SMALL(M63:M78,1)</f>
        <v>#NUM!</v>
      </c>
      <c r="E61" s="264" t="s">
        <v>53</v>
      </c>
      <c r="F61" s="263" t="e">
        <f>LARGE(O63:O78,1)</f>
        <v>#NUM!</v>
      </c>
      <c r="G61" s="1436" t="str">
        <f>"["&amp;ROUND(LARGE(P63:P78,1),1)&amp;" months]"</f>
        <v>[0 months]</v>
      </c>
      <c r="H61" s="1436"/>
      <c r="I61" s="265"/>
      <c r="J61" s="266"/>
      <c r="K61" s="1437">
        <f>التوصية!B109</f>
        <v>0</v>
      </c>
      <c r="L61" s="1437"/>
      <c r="M61" s="1437"/>
      <c r="N61" s="1437"/>
      <c r="O61" s="1437"/>
      <c r="P61" s="1437"/>
      <c r="Q61" s="1437"/>
      <c r="R61" s="1437"/>
      <c r="S61" s="1437"/>
      <c r="T61" s="1437"/>
      <c r="U61" s="1437"/>
      <c r="V61" s="1437"/>
      <c r="W61" s="1437"/>
    </row>
    <row r="62" spans="1:23" ht="30" customHeight="1">
      <c r="A62" s="269" t="s">
        <v>228</v>
      </c>
      <c r="B62" s="269" t="s">
        <v>229</v>
      </c>
      <c r="C62" s="269" t="s">
        <v>72</v>
      </c>
      <c r="D62" s="269" t="s">
        <v>230</v>
      </c>
      <c r="E62" s="269" t="s">
        <v>16</v>
      </c>
      <c r="F62" s="269" t="s">
        <v>231</v>
      </c>
      <c r="G62" s="269" t="s">
        <v>232</v>
      </c>
      <c r="H62" s="269" t="s">
        <v>233</v>
      </c>
      <c r="I62" s="270"/>
      <c r="J62" s="266"/>
      <c r="K62" s="269" t="s">
        <v>154</v>
      </c>
      <c r="L62" s="269" t="s">
        <v>155</v>
      </c>
      <c r="M62" s="1420" t="s">
        <v>1538</v>
      </c>
      <c r="N62" s="1420"/>
      <c r="O62" s="1420"/>
      <c r="P62" s="269" t="s">
        <v>1539</v>
      </c>
      <c r="Q62" s="269" t="s">
        <v>1540</v>
      </c>
      <c r="R62" s="269" t="s">
        <v>180</v>
      </c>
      <c r="S62" s="269" t="s">
        <v>1541</v>
      </c>
      <c r="T62" s="269" t="s">
        <v>181</v>
      </c>
      <c r="U62" s="269" t="s">
        <v>184</v>
      </c>
      <c r="V62" s="269" t="s">
        <v>182</v>
      </c>
      <c r="W62" s="269" t="s">
        <v>183</v>
      </c>
    </row>
    <row r="63" spans="1:23">
      <c r="A63" s="272">
        <f>K63</f>
        <v>0</v>
      </c>
      <c r="B63" s="273">
        <f t="shared" ref="B63:H63" si="32">(Q63*jodrate)+(Q64*eurrate)+(Q65/usdrate)+Q66</f>
        <v>0</v>
      </c>
      <c r="C63" s="274">
        <f t="shared" si="32"/>
        <v>0</v>
      </c>
      <c r="D63" s="274">
        <f t="shared" si="32"/>
        <v>0</v>
      </c>
      <c r="E63" s="274">
        <f t="shared" si="32"/>
        <v>0</v>
      </c>
      <c r="F63" s="274">
        <f t="shared" si="32"/>
        <v>0</v>
      </c>
      <c r="G63" s="274">
        <f t="shared" si="32"/>
        <v>0</v>
      </c>
      <c r="H63" s="274">
        <f t="shared" si="32"/>
        <v>0</v>
      </c>
      <c r="I63" s="275"/>
      <c r="J63" s="266"/>
      <c r="K63" s="1444"/>
      <c r="L63" s="276" t="s">
        <v>28</v>
      </c>
      <c r="M63" s="277"/>
      <c r="N63" s="278" t="s">
        <v>53</v>
      </c>
      <c r="O63" s="277"/>
      <c r="P63" s="279">
        <f>(O63-M63)/30</f>
        <v>0</v>
      </c>
      <c r="Q63" s="280">
        <f>IP5</f>
        <v>0</v>
      </c>
      <c r="R63" s="280">
        <f>HJ5-HZ5-Q63-U63</f>
        <v>0</v>
      </c>
      <c r="S63" s="280">
        <f t="shared" ref="S63:S78" si="33">IF(P63=0,0,R63/P63)</f>
        <v>0</v>
      </c>
      <c r="T63" s="280">
        <f>IF(V63+R63-W63&lt;0,0,V63+R63-W63)</f>
        <v>0</v>
      </c>
      <c r="U63" s="280">
        <f>JF5</f>
        <v>0</v>
      </c>
      <c r="V63" s="281"/>
      <c r="W63" s="281"/>
    </row>
    <row r="64" spans="1:23">
      <c r="A64" s="282">
        <f>K67</f>
        <v>0</v>
      </c>
      <c r="B64" s="275">
        <f t="shared" ref="B64:H64" si="34">(Q67*jodrate)+(Q68*eurrate)+(Q69/usdrate)+Q70</f>
        <v>0</v>
      </c>
      <c r="C64" s="275">
        <f t="shared" si="34"/>
        <v>0</v>
      </c>
      <c r="D64" s="275">
        <f t="shared" si="34"/>
        <v>0</v>
      </c>
      <c r="E64" s="275">
        <f t="shared" si="34"/>
        <v>0</v>
      </c>
      <c r="F64" s="275">
        <f t="shared" si="34"/>
        <v>0</v>
      </c>
      <c r="G64" s="275">
        <f t="shared" si="34"/>
        <v>0</v>
      </c>
      <c r="H64" s="275">
        <f t="shared" si="34"/>
        <v>0</v>
      </c>
      <c r="I64" s="275"/>
      <c r="J64" s="266"/>
      <c r="K64" s="1440"/>
      <c r="L64" s="59" t="s">
        <v>29</v>
      </c>
      <c r="M64" s="283"/>
      <c r="N64" s="56" t="s">
        <v>53</v>
      </c>
      <c r="O64" s="283"/>
      <c r="P64" s="57">
        <f t="shared" ref="P64:P78" si="35">(O64-M64)/30</f>
        <v>0</v>
      </c>
      <c r="Q64" s="284">
        <f>IQ5</f>
        <v>0</v>
      </c>
      <c r="R64" s="284">
        <f>HK5-IA5-Q64-U64</f>
        <v>0</v>
      </c>
      <c r="S64" s="284">
        <f t="shared" si="33"/>
        <v>0</v>
      </c>
      <c r="T64" s="284">
        <f t="shared" ref="T64:T78" si="36">IF(V64+R64-W64&lt;0,0,V64+R64-W64)</f>
        <v>0</v>
      </c>
      <c r="U64" s="284">
        <f>JG5</f>
        <v>0</v>
      </c>
      <c r="V64" s="285"/>
      <c r="W64" s="285"/>
    </row>
    <row r="65" spans="1:23">
      <c r="A65" s="282">
        <f>K71</f>
        <v>0</v>
      </c>
      <c r="B65" s="275">
        <f t="shared" ref="B65:H65" si="37">(Q71*jodrate)+(Q72*eurrate)+(Q73/usdrate)+Q74</f>
        <v>0</v>
      </c>
      <c r="C65" s="275">
        <f t="shared" si="37"/>
        <v>0</v>
      </c>
      <c r="D65" s="275">
        <f t="shared" si="37"/>
        <v>0</v>
      </c>
      <c r="E65" s="275">
        <f t="shared" si="37"/>
        <v>0</v>
      </c>
      <c r="F65" s="275">
        <f t="shared" si="37"/>
        <v>0</v>
      </c>
      <c r="G65" s="275">
        <f t="shared" si="37"/>
        <v>0</v>
      </c>
      <c r="H65" s="275">
        <f t="shared" si="37"/>
        <v>0</v>
      </c>
      <c r="I65" s="275"/>
      <c r="J65" s="266"/>
      <c r="K65" s="1440"/>
      <c r="L65" s="59" t="s">
        <v>4</v>
      </c>
      <c r="M65" s="283"/>
      <c r="N65" s="56" t="s">
        <v>53</v>
      </c>
      <c r="O65" s="283"/>
      <c r="P65" s="57">
        <f t="shared" si="35"/>
        <v>0</v>
      </c>
      <c r="Q65" s="284">
        <f>IR5</f>
        <v>0</v>
      </c>
      <c r="R65" s="284">
        <f>HL5-IB5-Q65-U65</f>
        <v>0</v>
      </c>
      <c r="S65" s="284">
        <f t="shared" si="33"/>
        <v>0</v>
      </c>
      <c r="T65" s="284">
        <f t="shared" si="36"/>
        <v>0</v>
      </c>
      <c r="U65" s="284">
        <f>JH5</f>
        <v>0</v>
      </c>
      <c r="V65" s="290"/>
      <c r="W65" s="290"/>
    </row>
    <row r="66" spans="1:23">
      <c r="A66" s="295">
        <f>K75</f>
        <v>0</v>
      </c>
      <c r="B66" s="275">
        <f t="shared" ref="B66:H66" si="38">(Q75*jodrate)+(Q76*eurrate)+(Q77/usdrate)+Q78</f>
        <v>0</v>
      </c>
      <c r="C66" s="275">
        <f t="shared" si="38"/>
        <v>0</v>
      </c>
      <c r="D66" s="275">
        <f t="shared" si="38"/>
        <v>0</v>
      </c>
      <c r="E66" s="275">
        <f t="shared" si="38"/>
        <v>0</v>
      </c>
      <c r="F66" s="275">
        <f t="shared" si="38"/>
        <v>0</v>
      </c>
      <c r="G66" s="275">
        <f t="shared" si="38"/>
        <v>0</v>
      </c>
      <c r="H66" s="275">
        <f t="shared" si="38"/>
        <v>0</v>
      </c>
      <c r="I66" s="275"/>
      <c r="J66" s="266"/>
      <c r="K66" s="1445"/>
      <c r="L66" s="296" t="s">
        <v>22</v>
      </c>
      <c r="M66" s="283"/>
      <c r="N66" s="56" t="s">
        <v>53</v>
      </c>
      <c r="O66" s="283"/>
      <c r="P66" s="57">
        <f t="shared" si="35"/>
        <v>0</v>
      </c>
      <c r="Q66" s="284">
        <f>IS5</f>
        <v>0</v>
      </c>
      <c r="R66" s="284">
        <f>HM5-IC5-Q66-U66</f>
        <v>0</v>
      </c>
      <c r="S66" s="284">
        <f t="shared" si="33"/>
        <v>0</v>
      </c>
      <c r="T66" s="284">
        <f t="shared" si="36"/>
        <v>0</v>
      </c>
      <c r="U66" s="284">
        <f>JI5</f>
        <v>0</v>
      </c>
      <c r="V66" s="290"/>
      <c r="W66" s="290"/>
    </row>
    <row r="67" spans="1:23">
      <c r="A67" s="303" t="s">
        <v>234</v>
      </c>
      <c r="B67" s="304">
        <f t="shared" ref="B67:H67" si="39">SUM(B63:B66)</f>
        <v>0</v>
      </c>
      <c r="C67" s="304">
        <f t="shared" si="39"/>
        <v>0</v>
      </c>
      <c r="D67" s="304">
        <f t="shared" si="39"/>
        <v>0</v>
      </c>
      <c r="E67" s="304">
        <f t="shared" si="39"/>
        <v>0</v>
      </c>
      <c r="F67" s="304">
        <f t="shared" si="39"/>
        <v>0</v>
      </c>
      <c r="G67" s="304">
        <f t="shared" si="39"/>
        <v>0</v>
      </c>
      <c r="H67" s="304">
        <f t="shared" si="39"/>
        <v>0</v>
      </c>
      <c r="I67" s="275"/>
      <c r="J67" s="266"/>
      <c r="K67" s="1439"/>
      <c r="L67" s="305" t="s">
        <v>28</v>
      </c>
      <c r="M67" s="306"/>
      <c r="N67" s="307" t="s">
        <v>53</v>
      </c>
      <c r="O67" s="306"/>
      <c r="P67" s="308">
        <f t="shared" si="35"/>
        <v>0</v>
      </c>
      <c r="Q67" s="309">
        <f>IT5</f>
        <v>0</v>
      </c>
      <c r="R67" s="309">
        <f>HN5-ID5-Q67-U67</f>
        <v>0</v>
      </c>
      <c r="S67" s="309">
        <f t="shared" si="33"/>
        <v>0</v>
      </c>
      <c r="T67" s="309">
        <f t="shared" si="36"/>
        <v>0</v>
      </c>
      <c r="U67" s="309">
        <f>JJ5</f>
        <v>0</v>
      </c>
      <c r="V67" s="310"/>
      <c r="W67" s="310"/>
    </row>
    <row r="68" spans="1:23">
      <c r="K68" s="1440"/>
      <c r="L68" s="59" t="s">
        <v>29</v>
      </c>
      <c r="M68" s="320"/>
      <c r="N68" s="56" t="s">
        <v>53</v>
      </c>
      <c r="O68" s="283"/>
      <c r="P68" s="57">
        <f t="shared" si="35"/>
        <v>0</v>
      </c>
      <c r="Q68" s="284">
        <f>IU5</f>
        <v>0</v>
      </c>
      <c r="R68" s="284">
        <f>HO5-IE5-Q68-U68</f>
        <v>0</v>
      </c>
      <c r="S68" s="284">
        <f t="shared" si="33"/>
        <v>0</v>
      </c>
      <c r="T68" s="284">
        <f t="shared" si="36"/>
        <v>0</v>
      </c>
      <c r="U68" s="284">
        <f>JK5</f>
        <v>0</v>
      </c>
      <c r="V68" s="285"/>
      <c r="W68" s="285"/>
    </row>
    <row r="69" spans="1:23">
      <c r="A69" s="1442">
        <f>A61</f>
        <v>0</v>
      </c>
      <c r="B69" s="1442"/>
      <c r="C69" s="1442"/>
      <c r="D69" s="321" t="s">
        <v>235</v>
      </c>
      <c r="E69" s="322"/>
      <c r="F69" s="318"/>
      <c r="K69" s="1440"/>
      <c r="L69" s="59" t="s">
        <v>4</v>
      </c>
      <c r="M69" s="320"/>
      <c r="N69" s="56" t="s">
        <v>53</v>
      </c>
      <c r="O69" s="283"/>
      <c r="P69" s="57">
        <f t="shared" si="35"/>
        <v>0</v>
      </c>
      <c r="Q69" s="284">
        <f>IV5</f>
        <v>0</v>
      </c>
      <c r="R69" s="284">
        <f>HP5-IF5-Q69-U69</f>
        <v>0</v>
      </c>
      <c r="S69" s="284">
        <f t="shared" si="33"/>
        <v>0</v>
      </c>
      <c r="T69" s="284">
        <f t="shared" si="36"/>
        <v>0</v>
      </c>
      <c r="U69" s="284">
        <f>JL5</f>
        <v>0</v>
      </c>
      <c r="V69" s="285"/>
      <c r="W69" s="285"/>
    </row>
    <row r="70" spans="1:23">
      <c r="A70" s="1443" t="s">
        <v>228</v>
      </c>
      <c r="B70" s="1443"/>
      <c r="C70" s="1443" t="s">
        <v>236</v>
      </c>
      <c r="D70" s="1443"/>
      <c r="E70" s="1443" t="s">
        <v>237</v>
      </c>
      <c r="F70" s="1443"/>
      <c r="K70" s="1441"/>
      <c r="L70" s="323" t="s">
        <v>22</v>
      </c>
      <c r="M70" s="324"/>
      <c r="N70" s="325" t="s">
        <v>53</v>
      </c>
      <c r="O70" s="326"/>
      <c r="P70" s="327">
        <f t="shared" si="35"/>
        <v>0</v>
      </c>
      <c r="Q70" s="328">
        <f>IW5</f>
        <v>0</v>
      </c>
      <c r="R70" s="328">
        <f>HQ5-IG5-Q70-U70</f>
        <v>0</v>
      </c>
      <c r="S70" s="328">
        <f t="shared" si="33"/>
        <v>0</v>
      </c>
      <c r="T70" s="328">
        <f t="shared" si="36"/>
        <v>0</v>
      </c>
      <c r="U70" s="328">
        <f>JM5</f>
        <v>0</v>
      </c>
      <c r="V70" s="329"/>
      <c r="W70" s="329"/>
    </row>
    <row r="71" spans="1:23">
      <c r="A71" s="1446"/>
      <c r="B71" s="1446"/>
      <c r="C71" s="1447"/>
      <c r="D71" s="1447"/>
      <c r="E71" s="1448">
        <v>0</v>
      </c>
      <c r="F71" s="1448"/>
      <c r="K71" s="1439"/>
      <c r="L71" s="305" t="s">
        <v>28</v>
      </c>
      <c r="M71" s="330"/>
      <c r="N71" s="307" t="s">
        <v>53</v>
      </c>
      <c r="O71" s="330"/>
      <c r="P71" s="308">
        <f t="shared" si="35"/>
        <v>0</v>
      </c>
      <c r="Q71" s="309">
        <f>IX5</f>
        <v>0</v>
      </c>
      <c r="R71" s="309">
        <f>HR5-IH5-Q71-U71</f>
        <v>0</v>
      </c>
      <c r="S71" s="309">
        <f t="shared" si="33"/>
        <v>0</v>
      </c>
      <c r="T71" s="309">
        <f t="shared" si="36"/>
        <v>0</v>
      </c>
      <c r="U71" s="309">
        <f>JN5</f>
        <v>0</v>
      </c>
      <c r="V71" s="310"/>
      <c r="W71" s="310"/>
    </row>
    <row r="72" spans="1:23">
      <c r="A72" s="1446"/>
      <c r="B72" s="1446"/>
      <c r="C72" s="1447"/>
      <c r="D72" s="1447"/>
      <c r="E72" s="1448">
        <v>0</v>
      </c>
      <c r="F72" s="1448"/>
      <c r="K72" s="1440"/>
      <c r="L72" s="59" t="s">
        <v>29</v>
      </c>
      <c r="M72" s="283"/>
      <c r="N72" s="56" t="s">
        <v>53</v>
      </c>
      <c r="O72" s="283"/>
      <c r="P72" s="57">
        <f t="shared" si="35"/>
        <v>0</v>
      </c>
      <c r="Q72" s="284">
        <f>IY5</f>
        <v>0</v>
      </c>
      <c r="R72" s="284">
        <f>HS5-II5-Q72-U72</f>
        <v>0</v>
      </c>
      <c r="S72" s="284">
        <f t="shared" si="33"/>
        <v>0</v>
      </c>
      <c r="T72" s="284">
        <f t="shared" si="36"/>
        <v>0</v>
      </c>
      <c r="U72" s="284">
        <f>JO5</f>
        <v>0</v>
      </c>
      <c r="V72" s="285"/>
      <c r="W72" s="285"/>
    </row>
    <row r="73" spans="1:23">
      <c r="A73" s="1446"/>
      <c r="B73" s="1446"/>
      <c r="C73" s="1447"/>
      <c r="D73" s="1447"/>
      <c r="E73" s="1448">
        <v>0</v>
      </c>
      <c r="F73" s="1448"/>
      <c r="K73" s="1440"/>
      <c r="L73" s="59" t="s">
        <v>4</v>
      </c>
      <c r="M73" s="283"/>
      <c r="N73" s="56" t="s">
        <v>53</v>
      </c>
      <c r="O73" s="283"/>
      <c r="P73" s="57">
        <f t="shared" si="35"/>
        <v>0</v>
      </c>
      <c r="Q73" s="284">
        <f>IZ5</f>
        <v>0</v>
      </c>
      <c r="R73" s="284">
        <f>HT5-IJ5-Q73-U73</f>
        <v>0</v>
      </c>
      <c r="S73" s="284">
        <f t="shared" si="33"/>
        <v>0</v>
      </c>
      <c r="T73" s="284">
        <f t="shared" si="36"/>
        <v>0</v>
      </c>
      <c r="U73" s="284">
        <f>JP5</f>
        <v>0</v>
      </c>
      <c r="V73" s="285"/>
      <c r="W73" s="285"/>
    </row>
    <row r="74" spans="1:23">
      <c r="A74" s="1446"/>
      <c r="B74" s="1446"/>
      <c r="C74" s="1447"/>
      <c r="D74" s="1447"/>
      <c r="E74" s="1448">
        <v>0</v>
      </c>
      <c r="F74" s="1448"/>
      <c r="K74" s="1441"/>
      <c r="L74" s="323" t="s">
        <v>22</v>
      </c>
      <c r="M74" s="326"/>
      <c r="N74" s="325" t="s">
        <v>53</v>
      </c>
      <c r="O74" s="326"/>
      <c r="P74" s="327">
        <f t="shared" si="35"/>
        <v>0</v>
      </c>
      <c r="Q74" s="328">
        <f>JA5</f>
        <v>0</v>
      </c>
      <c r="R74" s="328">
        <f>HU5-IK5-Q74-U74</f>
        <v>0</v>
      </c>
      <c r="S74" s="328">
        <f t="shared" si="33"/>
        <v>0</v>
      </c>
      <c r="T74" s="328">
        <f t="shared" si="36"/>
        <v>0</v>
      </c>
      <c r="U74" s="328">
        <f>JQ5</f>
        <v>0</v>
      </c>
      <c r="V74" s="329"/>
      <c r="W74" s="329"/>
    </row>
    <row r="75" spans="1:23">
      <c r="A75" s="1446"/>
      <c r="B75" s="1446"/>
      <c r="C75" s="1447"/>
      <c r="D75" s="1447"/>
      <c r="E75" s="1448">
        <v>0</v>
      </c>
      <c r="F75" s="1448"/>
      <c r="K75" s="1439"/>
      <c r="L75" s="305" t="s">
        <v>28</v>
      </c>
      <c r="M75" s="330"/>
      <c r="N75" s="307" t="s">
        <v>53</v>
      </c>
      <c r="O75" s="330"/>
      <c r="P75" s="308">
        <f t="shared" si="35"/>
        <v>0</v>
      </c>
      <c r="Q75" s="309">
        <f>JB5</f>
        <v>0</v>
      </c>
      <c r="R75" s="309">
        <f>HV5-IL5-Q75-U75</f>
        <v>0</v>
      </c>
      <c r="S75" s="309">
        <f t="shared" si="33"/>
        <v>0</v>
      </c>
      <c r="T75" s="309">
        <f t="shared" si="36"/>
        <v>0</v>
      </c>
      <c r="U75" s="309">
        <f>JR5</f>
        <v>0</v>
      </c>
      <c r="V75" s="310"/>
      <c r="W75" s="310"/>
    </row>
    <row r="76" spans="1:23">
      <c r="A76" s="1446"/>
      <c r="B76" s="1446"/>
      <c r="C76" s="1451"/>
      <c r="D76" s="1451"/>
      <c r="E76" s="1448">
        <v>0</v>
      </c>
      <c r="F76" s="1448"/>
      <c r="K76" s="1440"/>
      <c r="L76" s="59" t="s">
        <v>29</v>
      </c>
      <c r="M76" s="283"/>
      <c r="N76" s="56" t="s">
        <v>53</v>
      </c>
      <c r="O76" s="283"/>
      <c r="P76" s="57">
        <f t="shared" si="35"/>
        <v>0</v>
      </c>
      <c r="Q76" s="284">
        <f>JC5</f>
        <v>0</v>
      </c>
      <c r="R76" s="284">
        <f>HW5-IM5-Q76-U76</f>
        <v>0</v>
      </c>
      <c r="S76" s="284">
        <f t="shared" si="33"/>
        <v>0</v>
      </c>
      <c r="T76" s="284">
        <f t="shared" si="36"/>
        <v>0</v>
      </c>
      <c r="U76" s="284">
        <f>JS5</f>
        <v>0</v>
      </c>
      <c r="V76" s="285"/>
      <c r="W76" s="285"/>
    </row>
    <row r="77" spans="1:23">
      <c r="A77" s="1446"/>
      <c r="B77" s="1446"/>
      <c r="C77" s="1446"/>
      <c r="D77" s="1446"/>
      <c r="E77" s="1448">
        <v>0</v>
      </c>
      <c r="F77" s="1448"/>
      <c r="K77" s="1440"/>
      <c r="L77" s="59" t="s">
        <v>4</v>
      </c>
      <c r="M77" s="283"/>
      <c r="N77" s="56" t="s">
        <v>53</v>
      </c>
      <c r="O77" s="283"/>
      <c r="P77" s="57">
        <f t="shared" si="35"/>
        <v>0</v>
      </c>
      <c r="Q77" s="284">
        <f>JD5</f>
        <v>0</v>
      </c>
      <c r="R77" s="284">
        <f>HX5-IN5-Q77-U77</f>
        <v>0</v>
      </c>
      <c r="S77" s="284">
        <f t="shared" si="33"/>
        <v>0</v>
      </c>
      <c r="T77" s="284">
        <f t="shared" si="36"/>
        <v>0</v>
      </c>
      <c r="U77" s="284">
        <f>JT5</f>
        <v>0</v>
      </c>
      <c r="V77" s="285"/>
      <c r="W77" s="285"/>
    </row>
    <row r="78" spans="1:23">
      <c r="A78" s="1452" t="s">
        <v>5</v>
      </c>
      <c r="B78" s="1452"/>
      <c r="C78" s="1452"/>
      <c r="D78" s="1452"/>
      <c r="E78" s="1453">
        <f>SUM(E71:F77)</f>
        <v>0</v>
      </c>
      <c r="F78" s="1453"/>
      <c r="K78" s="1441"/>
      <c r="L78" s="323" t="s">
        <v>22</v>
      </c>
      <c r="M78" s="326"/>
      <c r="N78" s="325" t="s">
        <v>53</v>
      </c>
      <c r="O78" s="326"/>
      <c r="P78" s="327">
        <f t="shared" si="35"/>
        <v>0</v>
      </c>
      <c r="Q78" s="328">
        <f>JE5</f>
        <v>0</v>
      </c>
      <c r="R78" s="328">
        <f>HY5-IO5-Q78-U78</f>
        <v>0</v>
      </c>
      <c r="S78" s="328">
        <f t="shared" si="33"/>
        <v>0</v>
      </c>
      <c r="T78" s="328">
        <f t="shared" si="36"/>
        <v>0</v>
      </c>
      <c r="U78" s="328">
        <f>JU5</f>
        <v>0</v>
      </c>
      <c r="V78" s="329"/>
      <c r="W78" s="329"/>
    </row>
    <row r="79" spans="1:23">
      <c r="A79" s="331"/>
      <c r="B79" s="332"/>
      <c r="C79" s="332"/>
      <c r="D79" s="332"/>
      <c r="E79" s="332"/>
      <c r="F79" s="332"/>
      <c r="G79" s="332"/>
      <c r="H79" s="332"/>
      <c r="I79" s="332"/>
      <c r="K79" s="615"/>
      <c r="L79" s="332"/>
      <c r="M79" s="332"/>
      <c r="N79" s="332"/>
      <c r="O79" s="332"/>
      <c r="P79" s="332"/>
      <c r="Q79" s="332"/>
      <c r="R79" s="332"/>
      <c r="S79" s="332"/>
      <c r="T79" s="332"/>
      <c r="U79" s="332"/>
      <c r="V79" s="332"/>
      <c r="W79" s="332"/>
    </row>
  </sheetData>
  <mergeCells count="228">
    <mergeCell ref="A75:B75"/>
    <mergeCell ref="C75:D75"/>
    <mergeCell ref="E75:F75"/>
    <mergeCell ref="A71:B71"/>
    <mergeCell ref="C71:D71"/>
    <mergeCell ref="E71:F71"/>
    <mergeCell ref="K75:K78"/>
    <mergeCell ref="A76:B76"/>
    <mergeCell ref="C76:D76"/>
    <mergeCell ref="E76:F76"/>
    <mergeCell ref="A77:B77"/>
    <mergeCell ref="C77:D77"/>
    <mergeCell ref="E77:F77"/>
    <mergeCell ref="A78:B78"/>
    <mergeCell ref="C78:D78"/>
    <mergeCell ref="E78:F78"/>
    <mergeCell ref="K71:K74"/>
    <mergeCell ref="A72:B72"/>
    <mergeCell ref="C72:D72"/>
    <mergeCell ref="E72:F72"/>
    <mergeCell ref="A73:B73"/>
    <mergeCell ref="C73:D73"/>
    <mergeCell ref="E73:F73"/>
    <mergeCell ref="A74:B74"/>
    <mergeCell ref="A61:C61"/>
    <mergeCell ref="G61:H61"/>
    <mergeCell ref="K61:W61"/>
    <mergeCell ref="M62:O62"/>
    <mergeCell ref="K63:K66"/>
    <mergeCell ref="K67:K70"/>
    <mergeCell ref="A69:C69"/>
    <mergeCell ref="A70:B70"/>
    <mergeCell ref="C70:D70"/>
    <mergeCell ref="E70:F70"/>
    <mergeCell ref="C74:D74"/>
    <mergeCell ref="E74:F74"/>
    <mergeCell ref="A55:B55"/>
    <mergeCell ref="C55:D55"/>
    <mergeCell ref="E55:F55"/>
    <mergeCell ref="A51:B51"/>
    <mergeCell ref="C51:D51"/>
    <mergeCell ref="E51:F51"/>
    <mergeCell ref="K55:K58"/>
    <mergeCell ref="A56:B56"/>
    <mergeCell ref="C56:D56"/>
    <mergeCell ref="E56:F56"/>
    <mergeCell ref="A57:B57"/>
    <mergeCell ref="C57:D57"/>
    <mergeCell ref="E57:F57"/>
    <mergeCell ref="A58:B58"/>
    <mergeCell ref="C58:D58"/>
    <mergeCell ref="E58:F58"/>
    <mergeCell ref="K51:K54"/>
    <mergeCell ref="A52:B52"/>
    <mergeCell ref="C52:D52"/>
    <mergeCell ref="E52:F52"/>
    <mergeCell ref="A53:B53"/>
    <mergeCell ref="C53:D53"/>
    <mergeCell ref="G41:H41"/>
    <mergeCell ref="K41:W41"/>
    <mergeCell ref="M42:O42"/>
    <mergeCell ref="K43:K46"/>
    <mergeCell ref="K47:K50"/>
    <mergeCell ref="A49:C49"/>
    <mergeCell ref="A50:B50"/>
    <mergeCell ref="C50:D50"/>
    <mergeCell ref="E50:F50"/>
    <mergeCell ref="A54:B54"/>
    <mergeCell ref="C54:D54"/>
    <mergeCell ref="E54:F54"/>
    <mergeCell ref="A35:B35"/>
    <mergeCell ref="C35:D35"/>
    <mergeCell ref="E35:F35"/>
    <mergeCell ref="A31:B31"/>
    <mergeCell ref="C31:D31"/>
    <mergeCell ref="E31:F31"/>
    <mergeCell ref="E53:F53"/>
    <mergeCell ref="A41:C41"/>
    <mergeCell ref="K35:K38"/>
    <mergeCell ref="A36:B36"/>
    <mergeCell ref="C36:D36"/>
    <mergeCell ref="E36:F36"/>
    <mergeCell ref="A37:B37"/>
    <mergeCell ref="C37:D37"/>
    <mergeCell ref="E37:F37"/>
    <mergeCell ref="A38:B38"/>
    <mergeCell ref="C38:D38"/>
    <mergeCell ref="E38:F38"/>
    <mergeCell ref="K31:K34"/>
    <mergeCell ref="A32:B32"/>
    <mergeCell ref="C32:D32"/>
    <mergeCell ref="E32:F32"/>
    <mergeCell ref="A33:B33"/>
    <mergeCell ref="C33:D33"/>
    <mergeCell ref="E33:F33"/>
    <mergeCell ref="A21:C21"/>
    <mergeCell ref="G21:H21"/>
    <mergeCell ref="K21:W21"/>
    <mergeCell ref="M22:O22"/>
    <mergeCell ref="K23:K26"/>
    <mergeCell ref="K27:K30"/>
    <mergeCell ref="A29:C29"/>
    <mergeCell ref="A30:B30"/>
    <mergeCell ref="C30:D30"/>
    <mergeCell ref="E30:F30"/>
    <mergeCell ref="A34:B34"/>
    <mergeCell ref="C34:D34"/>
    <mergeCell ref="E34:F34"/>
    <mergeCell ref="A15:B15"/>
    <mergeCell ref="C15:D15"/>
    <mergeCell ref="E15:F15"/>
    <mergeCell ref="A11:B11"/>
    <mergeCell ref="C11:D11"/>
    <mergeCell ref="E11:F11"/>
    <mergeCell ref="K15:K18"/>
    <mergeCell ref="A16:B16"/>
    <mergeCell ref="C16:D16"/>
    <mergeCell ref="E16:F16"/>
    <mergeCell ref="A17:B17"/>
    <mergeCell ref="C17:D17"/>
    <mergeCell ref="E17:F17"/>
    <mergeCell ref="A18:B18"/>
    <mergeCell ref="C18:D18"/>
    <mergeCell ref="E18:F18"/>
    <mergeCell ref="K11:K14"/>
    <mergeCell ref="A12:B12"/>
    <mergeCell ref="C12:D12"/>
    <mergeCell ref="E12:F12"/>
    <mergeCell ref="A13:B13"/>
    <mergeCell ref="C13:D13"/>
    <mergeCell ref="E13:F13"/>
    <mergeCell ref="JJ3:JM3"/>
    <mergeCell ref="JN3:JQ3"/>
    <mergeCell ref="FR3:FU3"/>
    <mergeCell ref="FV3:FY3"/>
    <mergeCell ref="FZ3:GC3"/>
    <mergeCell ref="GD3:GG3"/>
    <mergeCell ref="GH3:GK3"/>
    <mergeCell ref="GL3:GO3"/>
    <mergeCell ref="ET3:EW3"/>
    <mergeCell ref="EX3:FA3"/>
    <mergeCell ref="FB3:FE3"/>
    <mergeCell ref="FF3:FI3"/>
    <mergeCell ref="FJ3:FM3"/>
    <mergeCell ref="FN3:FQ3"/>
    <mergeCell ref="GP3:GS3"/>
    <mergeCell ref="GT3:GW3"/>
    <mergeCell ref="GX3:HA3"/>
    <mergeCell ref="HB3:HE3"/>
    <mergeCell ref="HF3:HI3"/>
    <mergeCell ref="HJ3:HM3"/>
    <mergeCell ref="DV3:DY3"/>
    <mergeCell ref="DZ3:EC3"/>
    <mergeCell ref="ED3:EG3"/>
    <mergeCell ref="A14:B14"/>
    <mergeCell ref="C14:D14"/>
    <mergeCell ref="E14:F14"/>
    <mergeCell ref="CX3:DA3"/>
    <mergeCell ref="DB3:DE3"/>
    <mergeCell ref="DF3:DI3"/>
    <mergeCell ref="DJ3:DM3"/>
    <mergeCell ref="DN3:DQ3"/>
    <mergeCell ref="DR3:DU3"/>
    <mergeCell ref="AT3:AW3"/>
    <mergeCell ref="AX3:BA3"/>
    <mergeCell ref="BZ3:CC3"/>
    <mergeCell ref="CD3:CG3"/>
    <mergeCell ref="CH3:CK3"/>
    <mergeCell ref="CL3:CO3"/>
    <mergeCell ref="CP3:CS3"/>
    <mergeCell ref="CT3:CW3"/>
    <mergeCell ref="BB3:BE3"/>
    <mergeCell ref="BF3:BI3"/>
    <mergeCell ref="BJ3:BM3"/>
    <mergeCell ref="BN3:BQ3"/>
    <mergeCell ref="EH3:EK3"/>
    <mergeCell ref="EL3:EO3"/>
    <mergeCell ref="EP3:ES3"/>
    <mergeCell ref="JR3:JU3"/>
    <mergeCell ref="K7:K10"/>
    <mergeCell ref="A9:C9"/>
    <mergeCell ref="A10:B10"/>
    <mergeCell ref="C10:D10"/>
    <mergeCell ref="E10:F10"/>
    <mergeCell ref="IL3:IO3"/>
    <mergeCell ref="IP3:IS3"/>
    <mergeCell ref="IT3:IW3"/>
    <mergeCell ref="IX3:JA3"/>
    <mergeCell ref="JB3:JE3"/>
    <mergeCell ref="JF3:JI3"/>
    <mergeCell ref="HN3:HQ3"/>
    <mergeCell ref="HR3:HU3"/>
    <mergeCell ref="HV3:HY3"/>
    <mergeCell ref="HZ3:IC3"/>
    <mergeCell ref="ID3:IG3"/>
    <mergeCell ref="IH3:IK3"/>
    <mergeCell ref="K3:K6"/>
    <mergeCell ref="Z3:AC3"/>
    <mergeCell ref="AD3:AG3"/>
    <mergeCell ref="BR3:BU3"/>
    <mergeCell ref="BV3:BY3"/>
    <mergeCell ref="A1:C1"/>
    <mergeCell ref="G1:H1"/>
    <mergeCell ref="K1:W1"/>
    <mergeCell ref="Z1:CK1"/>
    <mergeCell ref="AH3:AK3"/>
    <mergeCell ref="AL3:AO3"/>
    <mergeCell ref="AP3:AS3"/>
    <mergeCell ref="CL1:EW1"/>
    <mergeCell ref="EX1:HI1"/>
    <mergeCell ref="HJ1:JU1"/>
    <mergeCell ref="M2:O2"/>
    <mergeCell ref="Z2:AO2"/>
    <mergeCell ref="AP2:BE2"/>
    <mergeCell ref="BF2:BU2"/>
    <mergeCell ref="BV2:CK2"/>
    <mergeCell ref="CL2:DA2"/>
    <mergeCell ref="DB2:DQ2"/>
    <mergeCell ref="DR2:EG2"/>
    <mergeCell ref="EH2:EW2"/>
    <mergeCell ref="IP2:JE2"/>
    <mergeCell ref="JF2:JU2"/>
    <mergeCell ref="FN2:GC2"/>
    <mergeCell ref="GD2:GS2"/>
    <mergeCell ref="GT2:HI2"/>
    <mergeCell ref="HJ2:HY2"/>
    <mergeCell ref="HZ2:IO2"/>
    <mergeCell ref="EX2:FM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Z1923"/>
  <sheetViews>
    <sheetView showGridLines="0" rightToLeft="1" topLeftCell="C1" zoomScaleNormal="100" workbookViewId="0">
      <selection activeCell="D387" sqref="D387:D770"/>
    </sheetView>
  </sheetViews>
  <sheetFormatPr defaultColWidth="9.140625" defaultRowHeight="12.75" outlineLevelRow="3"/>
  <cols>
    <col min="1" max="1" width="8" style="12" hidden="1" customWidth="1"/>
    <col min="2" max="2" width="11.28515625" style="12" hidden="1" customWidth="1"/>
    <col min="3" max="3" width="8.85546875" style="12" bestFit="1" customWidth="1"/>
    <col min="4" max="4" width="12.28515625" style="12" bestFit="1" customWidth="1"/>
    <col min="5" max="5" width="24.85546875" style="12" customWidth="1"/>
    <col min="6" max="6" width="17.42578125" style="13" bestFit="1" customWidth="1"/>
    <col min="7" max="7" width="7.5703125" style="18" customWidth="1"/>
    <col min="8" max="8" width="7" style="13" customWidth="1"/>
    <col min="9" max="9" width="9.140625" style="12" customWidth="1"/>
    <col min="10" max="10" width="10.28515625" style="12" bestFit="1" customWidth="1"/>
    <col min="11" max="12" width="11.42578125" style="12" bestFit="1" customWidth="1"/>
    <col min="13" max="13" width="19.85546875" style="12" bestFit="1" customWidth="1"/>
    <col min="14" max="14" width="10.28515625" style="12" bestFit="1" customWidth="1"/>
    <col min="15" max="15" width="11.140625" style="12" bestFit="1" customWidth="1"/>
    <col min="16" max="16" width="17.5703125" style="12" bestFit="1" customWidth="1"/>
    <col min="17" max="17" width="20.7109375" style="12" bestFit="1" customWidth="1"/>
    <col min="18" max="18" width="5.7109375" style="12" bestFit="1" customWidth="1"/>
    <col min="19" max="19" width="20.5703125" style="12" bestFit="1" customWidth="1"/>
    <col min="20" max="20" width="19.7109375" style="12" bestFit="1" customWidth="1"/>
    <col min="21" max="21" width="8.7109375" style="12" bestFit="1" customWidth="1"/>
    <col min="22" max="22" width="9.5703125" style="12" bestFit="1" customWidth="1"/>
    <col min="23" max="23" width="8.28515625" style="12" bestFit="1" customWidth="1"/>
    <col min="24" max="24" width="10.140625" style="12" bestFit="1" customWidth="1"/>
    <col min="25" max="25" width="8.140625" style="12" bestFit="1" customWidth="1"/>
    <col min="26" max="26" width="11.42578125" style="12" bestFit="1" customWidth="1"/>
    <col min="27" max="16384" width="9.140625" style="12"/>
  </cols>
  <sheetData>
    <row r="1" spans="1:26" ht="15">
      <c r="A1" s="41" t="s">
        <v>41</v>
      </c>
      <c r="B1" s="42" t="s">
        <v>52</v>
      </c>
      <c r="C1" s="1491" t="s">
        <v>254</v>
      </c>
      <c r="D1" s="1492"/>
      <c r="E1" s="1492"/>
      <c r="F1" s="1492"/>
      <c r="G1" s="1492"/>
      <c r="H1" s="1492"/>
      <c r="I1" s="1492"/>
      <c r="J1" s="1492"/>
      <c r="K1" s="1492"/>
      <c r="L1" s="1492"/>
      <c r="M1" s="1492"/>
      <c r="N1" s="1492"/>
      <c r="O1" s="1492"/>
      <c r="P1" s="1492"/>
      <c r="Q1" s="1493"/>
      <c r="R1" s="1488" t="s">
        <v>179</v>
      </c>
      <c r="S1" s="1489"/>
      <c r="T1" s="1489"/>
      <c r="U1" s="1489"/>
      <c r="V1" s="1489"/>
      <c r="W1" s="1489"/>
      <c r="X1" s="1489"/>
      <c r="Y1" s="405" t="s">
        <v>47</v>
      </c>
      <c r="Z1" s="405" t="s">
        <v>48</v>
      </c>
    </row>
    <row r="2" spans="1:26" ht="15">
      <c r="A2" s="39" t="s">
        <v>4</v>
      </c>
      <c r="B2" s="47">
        <v>0.05</v>
      </c>
      <c r="C2" s="402" t="s">
        <v>150</v>
      </c>
      <c r="D2" s="403" t="s">
        <v>151</v>
      </c>
      <c r="E2" s="403" t="s">
        <v>153</v>
      </c>
      <c r="F2" s="403" t="s">
        <v>152</v>
      </c>
      <c r="G2" s="403" t="s">
        <v>154</v>
      </c>
      <c r="H2" s="403" t="s">
        <v>155</v>
      </c>
      <c r="I2" s="403" t="s">
        <v>156</v>
      </c>
      <c r="J2" s="403" t="s">
        <v>157</v>
      </c>
      <c r="K2" s="403" t="s">
        <v>158</v>
      </c>
      <c r="L2" s="403" t="s">
        <v>245</v>
      </c>
      <c r="M2" s="403" t="s">
        <v>159</v>
      </c>
      <c r="N2" s="403" t="s">
        <v>160</v>
      </c>
      <c r="O2" s="404" t="s">
        <v>161</v>
      </c>
      <c r="P2" s="403" t="s">
        <v>252</v>
      </c>
      <c r="Q2" s="404" t="s">
        <v>253</v>
      </c>
      <c r="R2" s="427" t="s">
        <v>0</v>
      </c>
      <c r="S2" s="406" t="s">
        <v>55</v>
      </c>
      <c r="T2" s="406" t="s">
        <v>46</v>
      </c>
      <c r="U2" s="406" t="s">
        <v>162</v>
      </c>
      <c r="V2" s="406" t="s">
        <v>163</v>
      </c>
      <c r="W2" s="406" t="s">
        <v>164</v>
      </c>
      <c r="X2" s="406" t="s">
        <v>165</v>
      </c>
      <c r="Y2" s="406" t="s">
        <v>166</v>
      </c>
      <c r="Z2" s="406" t="s">
        <v>166</v>
      </c>
    </row>
    <row r="3" spans="1:26" ht="15" hidden="1" outlineLevel="2">
      <c r="A3" s="39" t="s">
        <v>28</v>
      </c>
      <c r="B3" s="47">
        <v>3.5000000000000003E-2</v>
      </c>
      <c r="C3" s="1481">
        <f>التوصية!$D$6</f>
        <v>0</v>
      </c>
      <c r="D3" s="1481"/>
      <c r="E3" s="1482" t="s">
        <v>167</v>
      </c>
      <c r="F3" s="1472" t="s">
        <v>169</v>
      </c>
      <c r="G3" s="381"/>
      <c r="H3" s="335" t="s">
        <v>4</v>
      </c>
      <c r="I3" s="336"/>
      <c r="J3" s="336"/>
      <c r="K3" s="336" t="e">
        <f t="shared" ref="K3:K12" si="0">Z3</f>
        <v>#DIV/0!</v>
      </c>
      <c r="L3" s="336">
        <f t="shared" ref="L3:L12" si="1">AA3</f>
        <v>0</v>
      </c>
      <c r="M3" s="337"/>
      <c r="N3" s="336"/>
      <c r="O3" s="338">
        <f t="shared" ref="O3:O34" si="2">IF(N3=0,0,N3/J3)</f>
        <v>0</v>
      </c>
      <c r="P3" s="336"/>
      <c r="Q3" s="430"/>
      <c r="R3" s="428">
        <f t="shared" ref="R3:R35" si="3">IF(H3="USD",$B$4,IF(H3="ILS",$B$2,IF(H3="JOD",$B$3,"")))</f>
        <v>0.05</v>
      </c>
      <c r="S3" s="45">
        <f>J3*R3</f>
        <v>0</v>
      </c>
      <c r="T3" s="45">
        <f>I3*R3</f>
        <v>0</v>
      </c>
      <c r="U3" s="46"/>
      <c r="V3" s="407">
        <f>U3/12</f>
        <v>0</v>
      </c>
      <c r="W3" s="45">
        <f>T3*V3</f>
        <v>0</v>
      </c>
      <c r="X3" s="45">
        <f>W3/usdrate</f>
        <v>0</v>
      </c>
      <c r="Y3" s="45">
        <f t="shared" ref="Y3:Y12" si="4">I3+W3</f>
        <v>0</v>
      </c>
      <c r="Z3" s="45" t="e">
        <f>Y3/U3</f>
        <v>#DIV/0!</v>
      </c>
    </row>
    <row r="4" spans="1:26" ht="15" hidden="1" outlineLevel="2">
      <c r="A4" s="40" t="s">
        <v>22</v>
      </c>
      <c r="B4" s="48">
        <v>3.5000000000000003E-2</v>
      </c>
      <c r="C4" s="1464"/>
      <c r="D4" s="1464"/>
      <c r="E4" s="1466"/>
      <c r="F4" s="1468"/>
      <c r="G4" s="339"/>
      <c r="H4" s="340" t="s">
        <v>4</v>
      </c>
      <c r="I4" s="341"/>
      <c r="J4" s="341"/>
      <c r="K4" s="336" t="e">
        <f t="shared" si="0"/>
        <v>#DIV/0!</v>
      </c>
      <c r="L4" s="336">
        <f t="shared" si="1"/>
        <v>0</v>
      </c>
      <c r="M4" s="342"/>
      <c r="N4" s="341"/>
      <c r="O4" s="338">
        <f t="shared" si="2"/>
        <v>0</v>
      </c>
      <c r="P4" s="341"/>
      <c r="Q4" s="431"/>
      <c r="R4" s="428">
        <f t="shared" si="3"/>
        <v>0.05</v>
      </c>
      <c r="S4" s="45">
        <f t="shared" ref="S4:S12" si="5">R4*J4</f>
        <v>0</v>
      </c>
      <c r="T4" s="45">
        <f t="shared" ref="T4:T12" si="6">R4*I4</f>
        <v>0</v>
      </c>
      <c r="U4" s="46"/>
      <c r="V4" s="407">
        <f>U4/12</f>
        <v>0</v>
      </c>
      <c r="W4" s="45">
        <f>T4*V4</f>
        <v>0</v>
      </c>
      <c r="X4" s="45">
        <f>W4/usdrate</f>
        <v>0</v>
      </c>
      <c r="Y4" s="45">
        <f t="shared" si="4"/>
        <v>0</v>
      </c>
      <c r="Z4" s="45" t="e">
        <f>Y4/U4</f>
        <v>#DIV/0!</v>
      </c>
    </row>
    <row r="5" spans="1:26" ht="15" hidden="1" outlineLevel="2">
      <c r="C5" s="1464"/>
      <c r="D5" s="1464"/>
      <c r="E5" s="1466"/>
      <c r="F5" s="1468"/>
      <c r="G5" s="343"/>
      <c r="H5" s="340" t="s">
        <v>4</v>
      </c>
      <c r="I5" s="341"/>
      <c r="J5" s="341"/>
      <c r="K5" s="341" t="e">
        <f t="shared" si="0"/>
        <v>#DIV/0!</v>
      </c>
      <c r="L5" s="341">
        <f t="shared" si="1"/>
        <v>0</v>
      </c>
      <c r="M5" s="337"/>
      <c r="N5" s="341"/>
      <c r="O5" s="338">
        <f t="shared" si="2"/>
        <v>0</v>
      </c>
      <c r="P5" s="341"/>
      <c r="Q5" s="431"/>
      <c r="R5" s="428">
        <f t="shared" si="3"/>
        <v>0.05</v>
      </c>
      <c r="S5" s="45">
        <f t="shared" si="5"/>
        <v>0</v>
      </c>
      <c r="T5" s="45">
        <f t="shared" si="6"/>
        <v>0</v>
      </c>
      <c r="U5" s="46"/>
      <c r="V5" s="407">
        <f t="shared" ref="V5:V34" si="7">U5/12</f>
        <v>0</v>
      </c>
      <c r="W5" s="45">
        <f t="shared" ref="W5:W34" si="8">T5*V5</f>
        <v>0</v>
      </c>
      <c r="X5" s="45"/>
      <c r="Y5" s="45">
        <f t="shared" si="4"/>
        <v>0</v>
      </c>
      <c r="Z5" s="45" t="e">
        <f t="shared" ref="Z5:Z34" si="9">Y5/U5</f>
        <v>#DIV/0!</v>
      </c>
    </row>
    <row r="6" spans="1:26" ht="15" hidden="1" outlineLevel="2">
      <c r="C6" s="1464"/>
      <c r="D6" s="1464"/>
      <c r="E6" s="1466"/>
      <c r="F6" s="1468"/>
      <c r="G6" s="343"/>
      <c r="H6" s="340" t="s">
        <v>4</v>
      </c>
      <c r="I6" s="341"/>
      <c r="J6" s="341"/>
      <c r="K6" s="341" t="e">
        <f t="shared" si="0"/>
        <v>#DIV/0!</v>
      </c>
      <c r="L6" s="341">
        <f t="shared" si="1"/>
        <v>0</v>
      </c>
      <c r="M6" s="342"/>
      <c r="N6" s="341"/>
      <c r="O6" s="338">
        <f t="shared" si="2"/>
        <v>0</v>
      </c>
      <c r="P6" s="341"/>
      <c r="Q6" s="431"/>
      <c r="R6" s="428">
        <f t="shared" si="3"/>
        <v>0.05</v>
      </c>
      <c r="S6" s="45">
        <f t="shared" si="5"/>
        <v>0</v>
      </c>
      <c r="T6" s="45">
        <f t="shared" si="6"/>
        <v>0</v>
      </c>
      <c r="U6" s="46"/>
      <c r="V6" s="407">
        <f t="shared" si="7"/>
        <v>0</v>
      </c>
      <c r="W6" s="45">
        <f t="shared" si="8"/>
        <v>0</v>
      </c>
      <c r="X6" s="45"/>
      <c r="Y6" s="45">
        <f t="shared" si="4"/>
        <v>0</v>
      </c>
      <c r="Z6" s="45" t="e">
        <f t="shared" si="9"/>
        <v>#DIV/0!</v>
      </c>
    </row>
    <row r="7" spans="1:26" ht="15" hidden="1" outlineLevel="2">
      <c r="C7" s="1464"/>
      <c r="D7" s="1464"/>
      <c r="E7" s="1466"/>
      <c r="F7" s="1468"/>
      <c r="G7" s="343"/>
      <c r="H7" s="340" t="s">
        <v>4</v>
      </c>
      <c r="I7" s="341"/>
      <c r="J7" s="341"/>
      <c r="K7" s="341" t="e">
        <f t="shared" si="0"/>
        <v>#DIV/0!</v>
      </c>
      <c r="L7" s="341">
        <f t="shared" si="1"/>
        <v>0</v>
      </c>
      <c r="M7" s="342"/>
      <c r="N7" s="341"/>
      <c r="O7" s="338">
        <f t="shared" si="2"/>
        <v>0</v>
      </c>
      <c r="P7" s="341"/>
      <c r="Q7" s="431"/>
      <c r="R7" s="428">
        <f t="shared" si="3"/>
        <v>0.05</v>
      </c>
      <c r="S7" s="45">
        <f t="shared" si="5"/>
        <v>0</v>
      </c>
      <c r="T7" s="45">
        <f t="shared" si="6"/>
        <v>0</v>
      </c>
      <c r="U7" s="46"/>
      <c r="V7" s="407">
        <f t="shared" si="7"/>
        <v>0</v>
      </c>
      <c r="W7" s="45">
        <f t="shared" si="8"/>
        <v>0</v>
      </c>
      <c r="X7" s="45"/>
      <c r="Y7" s="45">
        <f t="shared" si="4"/>
        <v>0</v>
      </c>
      <c r="Z7" s="45" t="e">
        <f t="shared" si="9"/>
        <v>#DIV/0!</v>
      </c>
    </row>
    <row r="8" spans="1:26" ht="15" hidden="1" outlineLevel="2">
      <c r="C8" s="1464"/>
      <c r="D8" s="1464"/>
      <c r="E8" s="1466"/>
      <c r="F8" s="1468"/>
      <c r="G8" s="343"/>
      <c r="H8" s="340" t="s">
        <v>4</v>
      </c>
      <c r="I8" s="341"/>
      <c r="J8" s="341"/>
      <c r="K8" s="341" t="e">
        <f t="shared" si="0"/>
        <v>#DIV/0!</v>
      </c>
      <c r="L8" s="341">
        <f t="shared" si="1"/>
        <v>0</v>
      </c>
      <c r="M8" s="342"/>
      <c r="N8" s="341"/>
      <c r="O8" s="338">
        <f t="shared" si="2"/>
        <v>0</v>
      </c>
      <c r="P8" s="341"/>
      <c r="Q8" s="431"/>
      <c r="R8" s="428">
        <f t="shared" si="3"/>
        <v>0.05</v>
      </c>
      <c r="S8" s="45">
        <f t="shared" si="5"/>
        <v>0</v>
      </c>
      <c r="T8" s="45">
        <f t="shared" si="6"/>
        <v>0</v>
      </c>
      <c r="U8" s="46"/>
      <c r="V8" s="407">
        <f t="shared" si="7"/>
        <v>0</v>
      </c>
      <c r="W8" s="45">
        <f t="shared" si="8"/>
        <v>0</v>
      </c>
      <c r="X8" s="45"/>
      <c r="Y8" s="45">
        <f t="shared" si="4"/>
        <v>0</v>
      </c>
      <c r="Z8" s="45" t="e">
        <f t="shared" si="9"/>
        <v>#DIV/0!</v>
      </c>
    </row>
    <row r="9" spans="1:26" ht="15" hidden="1" outlineLevel="2">
      <c r="C9" s="1464"/>
      <c r="D9" s="1464"/>
      <c r="E9" s="1466"/>
      <c r="F9" s="1468"/>
      <c r="G9" s="343"/>
      <c r="H9" s="340" t="s">
        <v>4</v>
      </c>
      <c r="I9" s="341"/>
      <c r="J9" s="341"/>
      <c r="K9" s="341" t="e">
        <f t="shared" si="0"/>
        <v>#DIV/0!</v>
      </c>
      <c r="L9" s="341">
        <f t="shared" si="1"/>
        <v>0</v>
      </c>
      <c r="M9" s="342"/>
      <c r="N9" s="341"/>
      <c r="O9" s="338">
        <f t="shared" si="2"/>
        <v>0</v>
      </c>
      <c r="P9" s="341"/>
      <c r="Q9" s="431"/>
      <c r="R9" s="428">
        <f t="shared" si="3"/>
        <v>0.05</v>
      </c>
      <c r="S9" s="45">
        <f t="shared" si="5"/>
        <v>0</v>
      </c>
      <c r="T9" s="45">
        <f t="shared" si="6"/>
        <v>0</v>
      </c>
      <c r="U9" s="46"/>
      <c r="V9" s="407">
        <f t="shared" si="7"/>
        <v>0</v>
      </c>
      <c r="W9" s="45">
        <f t="shared" si="8"/>
        <v>0</v>
      </c>
      <c r="X9" s="45"/>
      <c r="Y9" s="45">
        <f t="shared" si="4"/>
        <v>0</v>
      </c>
      <c r="Z9" s="45" t="e">
        <f t="shared" si="9"/>
        <v>#DIV/0!</v>
      </c>
    </row>
    <row r="10" spans="1:26" ht="15" hidden="1" outlineLevel="2">
      <c r="C10" s="1464"/>
      <c r="D10" s="1464"/>
      <c r="E10" s="1466"/>
      <c r="F10" s="1468"/>
      <c r="G10" s="343"/>
      <c r="H10" s="340" t="s">
        <v>4</v>
      </c>
      <c r="I10" s="341"/>
      <c r="J10" s="341"/>
      <c r="K10" s="341" t="e">
        <f t="shared" si="0"/>
        <v>#DIV/0!</v>
      </c>
      <c r="L10" s="341">
        <f t="shared" si="1"/>
        <v>0</v>
      </c>
      <c r="M10" s="342"/>
      <c r="N10" s="341"/>
      <c r="O10" s="338">
        <f t="shared" si="2"/>
        <v>0</v>
      </c>
      <c r="P10" s="341"/>
      <c r="Q10" s="431"/>
      <c r="R10" s="428">
        <f t="shared" si="3"/>
        <v>0.05</v>
      </c>
      <c r="S10" s="45">
        <f t="shared" si="5"/>
        <v>0</v>
      </c>
      <c r="T10" s="45">
        <f t="shared" si="6"/>
        <v>0</v>
      </c>
      <c r="U10" s="46"/>
      <c r="V10" s="407">
        <f t="shared" si="7"/>
        <v>0</v>
      </c>
      <c r="W10" s="45">
        <f t="shared" si="8"/>
        <v>0</v>
      </c>
      <c r="X10" s="45"/>
      <c r="Y10" s="45">
        <f t="shared" si="4"/>
        <v>0</v>
      </c>
      <c r="Z10" s="45" t="e">
        <f t="shared" si="9"/>
        <v>#DIV/0!</v>
      </c>
    </row>
    <row r="11" spans="1:26" ht="15" hidden="1" outlineLevel="2">
      <c r="C11" s="1464"/>
      <c r="D11" s="1464"/>
      <c r="E11" s="1466"/>
      <c r="F11" s="1468"/>
      <c r="G11" s="344"/>
      <c r="H11" s="340" t="s">
        <v>4</v>
      </c>
      <c r="I11" s="345"/>
      <c r="J11" s="345"/>
      <c r="K11" s="341" t="e">
        <f t="shared" si="0"/>
        <v>#DIV/0!</v>
      </c>
      <c r="L11" s="341">
        <f t="shared" si="1"/>
        <v>0</v>
      </c>
      <c r="M11" s="346"/>
      <c r="N11" s="345"/>
      <c r="O11" s="338">
        <f t="shared" si="2"/>
        <v>0</v>
      </c>
      <c r="P11" s="345"/>
      <c r="Q11" s="432"/>
      <c r="R11" s="428">
        <f t="shared" si="3"/>
        <v>0.05</v>
      </c>
      <c r="S11" s="45">
        <f t="shared" si="5"/>
        <v>0</v>
      </c>
      <c r="T11" s="45">
        <f t="shared" si="6"/>
        <v>0</v>
      </c>
      <c r="U11" s="46"/>
      <c r="V11" s="407">
        <f t="shared" si="7"/>
        <v>0</v>
      </c>
      <c r="W11" s="45">
        <f t="shared" si="8"/>
        <v>0</v>
      </c>
      <c r="X11" s="45"/>
      <c r="Y11" s="45">
        <f t="shared" si="4"/>
        <v>0</v>
      </c>
      <c r="Z11" s="45" t="e">
        <f t="shared" si="9"/>
        <v>#DIV/0!</v>
      </c>
    </row>
    <row r="12" spans="1:26" ht="15" hidden="1" outlineLevel="2">
      <c r="C12" s="1464"/>
      <c r="D12" s="1464"/>
      <c r="E12" s="1466"/>
      <c r="F12" s="1468"/>
      <c r="G12" s="343"/>
      <c r="H12" s="340" t="s">
        <v>4</v>
      </c>
      <c r="I12" s="341"/>
      <c r="J12" s="341"/>
      <c r="K12" s="341" t="e">
        <f t="shared" si="0"/>
        <v>#DIV/0!</v>
      </c>
      <c r="L12" s="341">
        <f t="shared" si="1"/>
        <v>0</v>
      </c>
      <c r="M12" s="342"/>
      <c r="N12" s="341"/>
      <c r="O12" s="338">
        <f t="shared" si="2"/>
        <v>0</v>
      </c>
      <c r="P12" s="341"/>
      <c r="Q12" s="431"/>
      <c r="R12" s="428">
        <f t="shared" si="3"/>
        <v>0.05</v>
      </c>
      <c r="S12" s="45">
        <f t="shared" si="5"/>
        <v>0</v>
      </c>
      <c r="T12" s="45">
        <f t="shared" si="6"/>
        <v>0</v>
      </c>
      <c r="U12" s="46"/>
      <c r="V12" s="407">
        <f t="shared" si="7"/>
        <v>0</v>
      </c>
      <c r="W12" s="45">
        <f t="shared" si="8"/>
        <v>0</v>
      </c>
      <c r="X12" s="45"/>
      <c r="Y12" s="45">
        <f t="shared" si="4"/>
        <v>0</v>
      </c>
      <c r="Z12" s="45" t="e">
        <f t="shared" si="9"/>
        <v>#DIV/0!</v>
      </c>
    </row>
    <row r="13" spans="1:26" ht="15" hidden="1" outlineLevel="2">
      <c r="C13" s="1464"/>
      <c r="D13" s="1464"/>
      <c r="E13" s="1466"/>
      <c r="F13" s="1468"/>
      <c r="G13" s="1470" t="s">
        <v>45</v>
      </c>
      <c r="H13" s="1471"/>
      <c r="I13" s="347">
        <f>SUM(I3:I12)</f>
        <v>0</v>
      </c>
      <c r="J13" s="347">
        <f t="shared" ref="J13" si="10">SUM(J3:J12)</f>
        <v>0</v>
      </c>
      <c r="K13" s="347">
        <f>SUMIFS(K3:K12,K3:K12,"&lt;&gt;",K3:K12,"&lt;"&amp;99^99)</f>
        <v>0</v>
      </c>
      <c r="L13" s="347">
        <f>SUMIFS(L3:L12,L3:L12,"&lt;&gt;",L3:L12,"&lt;"&amp;99^99)</f>
        <v>0</v>
      </c>
      <c r="M13" s="348"/>
      <c r="N13" s="347">
        <f>N3</f>
        <v>0</v>
      </c>
      <c r="O13" s="349">
        <f t="shared" si="2"/>
        <v>0</v>
      </c>
      <c r="P13" s="347">
        <f t="shared" ref="P13:Q13" si="11">SUM(P3:P12)</f>
        <v>0</v>
      </c>
      <c r="Q13" s="433">
        <f t="shared" si="11"/>
        <v>0</v>
      </c>
      <c r="R13" s="55" t="str">
        <f t="shared" si="3"/>
        <v/>
      </c>
      <c r="S13" s="408">
        <f>SUM(S3:S12)</f>
        <v>0</v>
      </c>
      <c r="T13" s="408">
        <f t="shared" ref="T13:Y13" si="12">SUM(T3:T12)</f>
        <v>0</v>
      </c>
      <c r="U13" s="408"/>
      <c r="V13" s="408"/>
      <c r="W13" s="408">
        <f t="shared" si="12"/>
        <v>0</v>
      </c>
      <c r="X13" s="408"/>
      <c r="Y13" s="408">
        <f t="shared" si="12"/>
        <v>0</v>
      </c>
      <c r="Z13" s="408">
        <f>SUMIFS(Z3:Z12,Y3:Y12,"&lt;&gt;",Z3:Z12,"&lt;"&amp;99^99)</f>
        <v>0</v>
      </c>
    </row>
    <row r="14" spans="1:26" ht="15" hidden="1" outlineLevel="2">
      <c r="C14" s="1464"/>
      <c r="D14" s="1464"/>
      <c r="E14" s="1466"/>
      <c r="F14" s="1468"/>
      <c r="G14" s="350"/>
      <c r="H14" s="335" t="s">
        <v>28</v>
      </c>
      <c r="I14" s="336"/>
      <c r="J14" s="336"/>
      <c r="K14" s="341" t="e">
        <f t="shared" ref="K14:K23" si="13">Z14</f>
        <v>#DIV/0!</v>
      </c>
      <c r="L14" s="341">
        <f t="shared" ref="L14:L23" si="14">AA14</f>
        <v>0</v>
      </c>
      <c r="M14" s="337"/>
      <c r="N14" s="336"/>
      <c r="O14" s="338">
        <f t="shared" si="2"/>
        <v>0</v>
      </c>
      <c r="P14" s="336"/>
      <c r="Q14" s="430"/>
      <c r="R14" s="428">
        <f t="shared" si="3"/>
        <v>3.5000000000000003E-2</v>
      </c>
      <c r="S14" s="45">
        <f t="shared" ref="S14:S23" si="15">R14*J14</f>
        <v>0</v>
      </c>
      <c r="T14" s="45">
        <f t="shared" ref="T14:T23" si="16">R14*I14</f>
        <v>0</v>
      </c>
      <c r="U14" s="46"/>
      <c r="V14" s="407">
        <f t="shared" si="7"/>
        <v>0</v>
      </c>
      <c r="W14" s="45">
        <f t="shared" si="8"/>
        <v>0</v>
      </c>
      <c r="X14" s="45"/>
      <c r="Y14" s="45">
        <f t="shared" ref="Y14:Y23" si="17">I14+W14</f>
        <v>0</v>
      </c>
      <c r="Z14" s="45" t="e">
        <f t="shared" si="9"/>
        <v>#DIV/0!</v>
      </c>
    </row>
    <row r="15" spans="1:26" ht="15" hidden="1" outlineLevel="2">
      <c r="C15" s="1464"/>
      <c r="D15" s="1464"/>
      <c r="E15" s="1466"/>
      <c r="F15" s="1468"/>
      <c r="G15" s="343"/>
      <c r="H15" s="335" t="s">
        <v>28</v>
      </c>
      <c r="I15" s="341"/>
      <c r="J15" s="341"/>
      <c r="K15" s="341" t="e">
        <f t="shared" si="13"/>
        <v>#DIV/0!</v>
      </c>
      <c r="L15" s="341">
        <f t="shared" si="14"/>
        <v>0</v>
      </c>
      <c r="M15" s="342"/>
      <c r="N15" s="341"/>
      <c r="O15" s="338">
        <f t="shared" si="2"/>
        <v>0</v>
      </c>
      <c r="P15" s="341"/>
      <c r="Q15" s="431"/>
      <c r="R15" s="428">
        <f t="shared" si="3"/>
        <v>3.5000000000000003E-2</v>
      </c>
      <c r="S15" s="45">
        <f t="shared" si="15"/>
        <v>0</v>
      </c>
      <c r="T15" s="45">
        <f t="shared" si="16"/>
        <v>0</v>
      </c>
      <c r="U15" s="46"/>
      <c r="V15" s="407">
        <f t="shared" si="7"/>
        <v>0</v>
      </c>
      <c r="W15" s="45">
        <f t="shared" si="8"/>
        <v>0</v>
      </c>
      <c r="X15" s="45"/>
      <c r="Y15" s="45">
        <f t="shared" si="17"/>
        <v>0</v>
      </c>
      <c r="Z15" s="45" t="e">
        <f t="shared" si="9"/>
        <v>#DIV/0!</v>
      </c>
    </row>
    <row r="16" spans="1:26" ht="15" hidden="1" outlineLevel="2">
      <c r="C16" s="1464"/>
      <c r="D16" s="1464"/>
      <c r="E16" s="1466"/>
      <c r="F16" s="1468"/>
      <c r="G16" s="343"/>
      <c r="H16" s="335" t="s">
        <v>28</v>
      </c>
      <c r="I16" s="341"/>
      <c r="J16" s="341"/>
      <c r="K16" s="341" t="e">
        <f t="shared" si="13"/>
        <v>#DIV/0!</v>
      </c>
      <c r="L16" s="341">
        <f t="shared" si="14"/>
        <v>0</v>
      </c>
      <c r="M16" s="337"/>
      <c r="N16" s="341"/>
      <c r="O16" s="338">
        <f t="shared" si="2"/>
        <v>0</v>
      </c>
      <c r="P16" s="341"/>
      <c r="Q16" s="431"/>
      <c r="R16" s="428">
        <f t="shared" si="3"/>
        <v>3.5000000000000003E-2</v>
      </c>
      <c r="S16" s="45">
        <f t="shared" si="15"/>
        <v>0</v>
      </c>
      <c r="T16" s="45">
        <f t="shared" si="16"/>
        <v>0</v>
      </c>
      <c r="U16" s="46"/>
      <c r="V16" s="407">
        <f t="shared" si="7"/>
        <v>0</v>
      </c>
      <c r="W16" s="45">
        <f t="shared" si="8"/>
        <v>0</v>
      </c>
      <c r="X16" s="45"/>
      <c r="Y16" s="45">
        <f t="shared" si="17"/>
        <v>0</v>
      </c>
      <c r="Z16" s="45" t="e">
        <f t="shared" si="9"/>
        <v>#DIV/0!</v>
      </c>
    </row>
    <row r="17" spans="3:26" ht="15" hidden="1" outlineLevel="2">
      <c r="C17" s="1464"/>
      <c r="D17" s="1464"/>
      <c r="E17" s="1466"/>
      <c r="F17" s="1468"/>
      <c r="G17" s="343"/>
      <c r="H17" s="335" t="s">
        <v>28</v>
      </c>
      <c r="I17" s="341"/>
      <c r="J17" s="341"/>
      <c r="K17" s="341" t="e">
        <f t="shared" si="13"/>
        <v>#DIV/0!</v>
      </c>
      <c r="L17" s="341">
        <f t="shared" si="14"/>
        <v>0</v>
      </c>
      <c r="M17" s="342"/>
      <c r="N17" s="341"/>
      <c r="O17" s="338">
        <f t="shared" si="2"/>
        <v>0</v>
      </c>
      <c r="P17" s="341"/>
      <c r="Q17" s="431"/>
      <c r="R17" s="428">
        <f t="shared" si="3"/>
        <v>3.5000000000000003E-2</v>
      </c>
      <c r="S17" s="45">
        <f t="shared" si="15"/>
        <v>0</v>
      </c>
      <c r="T17" s="45">
        <f t="shared" si="16"/>
        <v>0</v>
      </c>
      <c r="U17" s="46"/>
      <c r="V17" s="407">
        <f t="shared" si="7"/>
        <v>0</v>
      </c>
      <c r="W17" s="45">
        <f t="shared" si="8"/>
        <v>0</v>
      </c>
      <c r="X17" s="45"/>
      <c r="Y17" s="45">
        <f t="shared" si="17"/>
        <v>0</v>
      </c>
      <c r="Z17" s="45" t="e">
        <f t="shared" si="9"/>
        <v>#DIV/0!</v>
      </c>
    </row>
    <row r="18" spans="3:26" ht="15" hidden="1" outlineLevel="2">
      <c r="C18" s="1464"/>
      <c r="D18" s="1464"/>
      <c r="E18" s="1466"/>
      <c r="F18" s="1468"/>
      <c r="G18" s="343"/>
      <c r="H18" s="335" t="s">
        <v>28</v>
      </c>
      <c r="I18" s="341"/>
      <c r="J18" s="341"/>
      <c r="K18" s="341" t="e">
        <f t="shared" si="13"/>
        <v>#DIV/0!</v>
      </c>
      <c r="L18" s="341">
        <f t="shared" si="14"/>
        <v>0</v>
      </c>
      <c r="M18" s="342"/>
      <c r="N18" s="341"/>
      <c r="O18" s="338">
        <f t="shared" si="2"/>
        <v>0</v>
      </c>
      <c r="P18" s="341"/>
      <c r="Q18" s="431"/>
      <c r="R18" s="428">
        <f t="shared" si="3"/>
        <v>3.5000000000000003E-2</v>
      </c>
      <c r="S18" s="45">
        <f t="shared" si="15"/>
        <v>0</v>
      </c>
      <c r="T18" s="45">
        <f t="shared" si="16"/>
        <v>0</v>
      </c>
      <c r="U18" s="46"/>
      <c r="V18" s="407">
        <f t="shared" si="7"/>
        <v>0</v>
      </c>
      <c r="W18" s="45">
        <f t="shared" si="8"/>
        <v>0</v>
      </c>
      <c r="X18" s="45"/>
      <c r="Y18" s="45">
        <f t="shared" si="17"/>
        <v>0</v>
      </c>
      <c r="Z18" s="45" t="e">
        <f t="shared" si="9"/>
        <v>#DIV/0!</v>
      </c>
    </row>
    <row r="19" spans="3:26" ht="15" hidden="1" outlineLevel="2">
      <c r="C19" s="1464"/>
      <c r="D19" s="1464"/>
      <c r="E19" s="1466"/>
      <c r="F19" s="1468"/>
      <c r="G19" s="343"/>
      <c r="H19" s="335" t="s">
        <v>28</v>
      </c>
      <c r="I19" s="341"/>
      <c r="J19" s="341"/>
      <c r="K19" s="341" t="e">
        <f t="shared" si="13"/>
        <v>#DIV/0!</v>
      </c>
      <c r="L19" s="341">
        <f t="shared" si="14"/>
        <v>0</v>
      </c>
      <c r="M19" s="342"/>
      <c r="N19" s="341"/>
      <c r="O19" s="338">
        <f t="shared" si="2"/>
        <v>0</v>
      </c>
      <c r="P19" s="341"/>
      <c r="Q19" s="431"/>
      <c r="R19" s="428">
        <f t="shared" si="3"/>
        <v>3.5000000000000003E-2</v>
      </c>
      <c r="S19" s="45">
        <f t="shared" si="15"/>
        <v>0</v>
      </c>
      <c r="T19" s="45">
        <f t="shared" si="16"/>
        <v>0</v>
      </c>
      <c r="U19" s="46"/>
      <c r="V19" s="407">
        <f t="shared" si="7"/>
        <v>0</v>
      </c>
      <c r="W19" s="45">
        <f t="shared" si="8"/>
        <v>0</v>
      </c>
      <c r="X19" s="45"/>
      <c r="Y19" s="45">
        <f t="shared" si="17"/>
        <v>0</v>
      </c>
      <c r="Z19" s="45" t="e">
        <f t="shared" si="9"/>
        <v>#DIV/0!</v>
      </c>
    </row>
    <row r="20" spans="3:26" ht="15" hidden="1" outlineLevel="2">
      <c r="C20" s="1464"/>
      <c r="D20" s="1464"/>
      <c r="E20" s="1466"/>
      <c r="F20" s="1468"/>
      <c r="G20" s="343"/>
      <c r="H20" s="335" t="s">
        <v>28</v>
      </c>
      <c r="I20" s="341"/>
      <c r="J20" s="341"/>
      <c r="K20" s="341" t="e">
        <f t="shared" si="13"/>
        <v>#DIV/0!</v>
      </c>
      <c r="L20" s="341">
        <f t="shared" si="14"/>
        <v>0</v>
      </c>
      <c r="M20" s="342"/>
      <c r="N20" s="341"/>
      <c r="O20" s="338">
        <f t="shared" si="2"/>
        <v>0</v>
      </c>
      <c r="P20" s="341"/>
      <c r="Q20" s="431"/>
      <c r="R20" s="428">
        <f t="shared" si="3"/>
        <v>3.5000000000000003E-2</v>
      </c>
      <c r="S20" s="45">
        <f t="shared" si="15"/>
        <v>0</v>
      </c>
      <c r="T20" s="45">
        <f t="shared" si="16"/>
        <v>0</v>
      </c>
      <c r="U20" s="46"/>
      <c r="V20" s="407">
        <f t="shared" si="7"/>
        <v>0</v>
      </c>
      <c r="W20" s="45">
        <f t="shared" si="8"/>
        <v>0</v>
      </c>
      <c r="X20" s="45"/>
      <c r="Y20" s="45">
        <f t="shared" si="17"/>
        <v>0</v>
      </c>
      <c r="Z20" s="45" t="e">
        <f t="shared" si="9"/>
        <v>#DIV/0!</v>
      </c>
    </row>
    <row r="21" spans="3:26" ht="15" hidden="1" outlineLevel="2">
      <c r="C21" s="1464"/>
      <c r="D21" s="1464"/>
      <c r="E21" s="1466"/>
      <c r="F21" s="1468"/>
      <c r="G21" s="343"/>
      <c r="H21" s="335" t="s">
        <v>28</v>
      </c>
      <c r="I21" s="341"/>
      <c r="J21" s="341"/>
      <c r="K21" s="341" t="e">
        <f t="shared" si="13"/>
        <v>#DIV/0!</v>
      </c>
      <c r="L21" s="341">
        <f t="shared" si="14"/>
        <v>0</v>
      </c>
      <c r="M21" s="342"/>
      <c r="N21" s="341"/>
      <c r="O21" s="338">
        <f t="shared" si="2"/>
        <v>0</v>
      </c>
      <c r="P21" s="341"/>
      <c r="Q21" s="431"/>
      <c r="R21" s="428">
        <f t="shared" si="3"/>
        <v>3.5000000000000003E-2</v>
      </c>
      <c r="S21" s="45">
        <f t="shared" si="15"/>
        <v>0</v>
      </c>
      <c r="T21" s="45">
        <f t="shared" si="16"/>
        <v>0</v>
      </c>
      <c r="U21" s="46"/>
      <c r="V21" s="407">
        <f t="shared" si="7"/>
        <v>0</v>
      </c>
      <c r="W21" s="45">
        <f t="shared" si="8"/>
        <v>0</v>
      </c>
      <c r="X21" s="45"/>
      <c r="Y21" s="45">
        <f t="shared" si="17"/>
        <v>0</v>
      </c>
      <c r="Z21" s="45" t="e">
        <f t="shared" si="9"/>
        <v>#DIV/0!</v>
      </c>
    </row>
    <row r="22" spans="3:26" ht="15" hidden="1" outlineLevel="2">
      <c r="C22" s="1464"/>
      <c r="D22" s="1464"/>
      <c r="E22" s="1466"/>
      <c r="F22" s="1468"/>
      <c r="G22" s="344"/>
      <c r="H22" s="335" t="s">
        <v>28</v>
      </c>
      <c r="I22" s="345"/>
      <c r="J22" s="345"/>
      <c r="K22" s="341" t="e">
        <f t="shared" si="13"/>
        <v>#DIV/0!</v>
      </c>
      <c r="L22" s="341">
        <f t="shared" si="14"/>
        <v>0</v>
      </c>
      <c r="M22" s="346"/>
      <c r="N22" s="345"/>
      <c r="O22" s="338">
        <f t="shared" si="2"/>
        <v>0</v>
      </c>
      <c r="P22" s="345"/>
      <c r="Q22" s="432"/>
      <c r="R22" s="428">
        <f t="shared" si="3"/>
        <v>3.5000000000000003E-2</v>
      </c>
      <c r="S22" s="45">
        <f t="shared" si="15"/>
        <v>0</v>
      </c>
      <c r="T22" s="45">
        <f t="shared" si="16"/>
        <v>0</v>
      </c>
      <c r="U22" s="46"/>
      <c r="V22" s="407">
        <f t="shared" si="7"/>
        <v>0</v>
      </c>
      <c r="W22" s="45">
        <f t="shared" si="8"/>
        <v>0</v>
      </c>
      <c r="X22" s="45"/>
      <c r="Y22" s="45">
        <f t="shared" si="17"/>
        <v>0</v>
      </c>
      <c r="Z22" s="45" t="e">
        <f t="shared" si="9"/>
        <v>#DIV/0!</v>
      </c>
    </row>
    <row r="23" spans="3:26" ht="15" hidden="1" outlineLevel="2">
      <c r="C23" s="1464"/>
      <c r="D23" s="1464"/>
      <c r="E23" s="1466"/>
      <c r="F23" s="1468"/>
      <c r="G23" s="343"/>
      <c r="H23" s="335" t="s">
        <v>28</v>
      </c>
      <c r="I23" s="341"/>
      <c r="J23" s="341"/>
      <c r="K23" s="341" t="e">
        <f t="shared" si="13"/>
        <v>#DIV/0!</v>
      </c>
      <c r="L23" s="341">
        <f t="shared" si="14"/>
        <v>0</v>
      </c>
      <c r="M23" s="342"/>
      <c r="N23" s="341"/>
      <c r="O23" s="338">
        <f t="shared" si="2"/>
        <v>0</v>
      </c>
      <c r="P23" s="341"/>
      <c r="Q23" s="431"/>
      <c r="R23" s="428">
        <f t="shared" si="3"/>
        <v>3.5000000000000003E-2</v>
      </c>
      <c r="S23" s="45">
        <f t="shared" si="15"/>
        <v>0</v>
      </c>
      <c r="T23" s="45">
        <f t="shared" si="16"/>
        <v>0</v>
      </c>
      <c r="U23" s="46"/>
      <c r="V23" s="407">
        <f t="shared" si="7"/>
        <v>0</v>
      </c>
      <c r="W23" s="45">
        <f t="shared" si="8"/>
        <v>0</v>
      </c>
      <c r="X23" s="45"/>
      <c r="Y23" s="45">
        <f t="shared" si="17"/>
        <v>0</v>
      </c>
      <c r="Z23" s="45" t="e">
        <f t="shared" si="9"/>
        <v>#DIV/0!</v>
      </c>
    </row>
    <row r="24" spans="3:26" ht="15" hidden="1" outlineLevel="2">
      <c r="C24" s="1464"/>
      <c r="D24" s="1464"/>
      <c r="E24" s="1466"/>
      <c r="F24" s="1468"/>
      <c r="G24" s="1470" t="s">
        <v>51</v>
      </c>
      <c r="H24" s="1471"/>
      <c r="I24" s="347">
        <f>SUM(I14:I23)</f>
        <v>0</v>
      </c>
      <c r="J24" s="347">
        <f t="shared" ref="J24" si="18">SUM(J14:J23)</f>
        <v>0</v>
      </c>
      <c r="K24" s="347">
        <f>SUMIFS(K14:K23,K14:K23,"&lt;&gt;",K14:K23,"&lt;"&amp;99^99)</f>
        <v>0</v>
      </c>
      <c r="L24" s="347">
        <f>SUMIFS(L14:L23,L14:L23,"&lt;&gt;",L14:L23,"&lt;"&amp;99^99)</f>
        <v>0</v>
      </c>
      <c r="M24" s="348"/>
      <c r="N24" s="347">
        <f>N14</f>
        <v>0</v>
      </c>
      <c r="O24" s="349">
        <f t="shared" si="2"/>
        <v>0</v>
      </c>
      <c r="P24" s="347">
        <f t="shared" ref="P24:Q24" si="19">SUM(P14:P23)</f>
        <v>0</v>
      </c>
      <c r="Q24" s="433">
        <f t="shared" si="19"/>
        <v>0</v>
      </c>
      <c r="R24" s="55" t="str">
        <f t="shared" si="3"/>
        <v/>
      </c>
      <c r="S24" s="408">
        <f>SUM(S14:S23)</f>
        <v>0</v>
      </c>
      <c r="T24" s="408">
        <f t="shared" ref="T24" si="20">SUM(T14:T23)</f>
        <v>0</v>
      </c>
      <c r="U24" s="408"/>
      <c r="V24" s="408"/>
      <c r="W24" s="408">
        <f t="shared" ref="W24" si="21">SUM(W14:W23)</f>
        <v>0</v>
      </c>
      <c r="X24" s="408"/>
      <c r="Y24" s="408">
        <f t="shared" ref="Y24" si="22">SUM(Y14:Y23)</f>
        <v>0</v>
      </c>
      <c r="Z24" s="408">
        <f>SUMIFS(Z14:Z23,Y14:Y23,"&lt;&gt;",Z14:Z23,"&lt;"&amp;99^99)</f>
        <v>0</v>
      </c>
    </row>
    <row r="25" spans="3:26" ht="15" hidden="1" outlineLevel="2">
      <c r="C25" s="1464"/>
      <c r="D25" s="1464"/>
      <c r="E25" s="1466"/>
      <c r="F25" s="1468"/>
      <c r="G25" s="351"/>
      <c r="H25" s="335" t="s">
        <v>22</v>
      </c>
      <c r="I25" s="336"/>
      <c r="J25" s="336"/>
      <c r="K25" s="341"/>
      <c r="L25" s="341"/>
      <c r="M25" s="352"/>
      <c r="N25" s="336"/>
      <c r="O25" s="338">
        <f t="shared" si="2"/>
        <v>0</v>
      </c>
      <c r="P25" s="336"/>
      <c r="Q25" s="430"/>
      <c r="R25" s="428">
        <f t="shared" si="3"/>
        <v>3.5000000000000003E-2</v>
      </c>
      <c r="S25" s="45">
        <f t="shared" ref="S25:S34" si="23">R25*J25</f>
        <v>0</v>
      </c>
      <c r="T25" s="45">
        <f t="shared" ref="T25:T34" si="24">R25*I25</f>
        <v>0</v>
      </c>
      <c r="U25" s="46">
        <v>0</v>
      </c>
      <c r="V25" s="407">
        <f>U25/12</f>
        <v>0</v>
      </c>
      <c r="W25" s="45">
        <f>T25*V25</f>
        <v>0</v>
      </c>
      <c r="X25" s="45"/>
      <c r="Y25" s="45">
        <f t="shared" ref="Y25:Y34" si="25">I25+W25</f>
        <v>0</v>
      </c>
      <c r="Z25" s="45" t="e">
        <f t="shared" si="9"/>
        <v>#DIV/0!</v>
      </c>
    </row>
    <row r="26" spans="3:26" ht="15" hidden="1" outlineLevel="2">
      <c r="C26" s="1464"/>
      <c r="D26" s="1464"/>
      <c r="E26" s="1466"/>
      <c r="F26" s="1468"/>
      <c r="G26" s="343"/>
      <c r="H26" s="335" t="s">
        <v>22</v>
      </c>
      <c r="I26" s="341"/>
      <c r="J26" s="341"/>
      <c r="K26" s="341" t="e">
        <f t="shared" ref="K26:K34" si="26">Z26</f>
        <v>#DIV/0!</v>
      </c>
      <c r="L26" s="341">
        <f t="shared" ref="L26:L34" si="27">AA26</f>
        <v>0</v>
      </c>
      <c r="M26" s="342"/>
      <c r="N26" s="341"/>
      <c r="O26" s="338">
        <f t="shared" si="2"/>
        <v>0</v>
      </c>
      <c r="P26" s="341"/>
      <c r="Q26" s="431"/>
      <c r="R26" s="428">
        <f t="shared" si="3"/>
        <v>3.5000000000000003E-2</v>
      </c>
      <c r="S26" s="45">
        <f t="shared" si="23"/>
        <v>0</v>
      </c>
      <c r="T26" s="45">
        <f t="shared" si="24"/>
        <v>0</v>
      </c>
      <c r="U26" s="46"/>
      <c r="V26" s="407">
        <f t="shared" si="7"/>
        <v>0</v>
      </c>
      <c r="W26" s="45">
        <f t="shared" si="8"/>
        <v>0</v>
      </c>
      <c r="X26" s="45"/>
      <c r="Y26" s="45">
        <f t="shared" si="25"/>
        <v>0</v>
      </c>
      <c r="Z26" s="45" t="e">
        <f t="shared" si="9"/>
        <v>#DIV/0!</v>
      </c>
    </row>
    <row r="27" spans="3:26" ht="15" hidden="1" outlineLevel="2">
      <c r="C27" s="1464"/>
      <c r="D27" s="1464"/>
      <c r="E27" s="1466"/>
      <c r="F27" s="1468"/>
      <c r="G27" s="343"/>
      <c r="H27" s="335" t="s">
        <v>22</v>
      </c>
      <c r="I27" s="341"/>
      <c r="J27" s="341"/>
      <c r="K27" s="341" t="e">
        <f t="shared" si="26"/>
        <v>#DIV/0!</v>
      </c>
      <c r="L27" s="341">
        <f t="shared" si="27"/>
        <v>0</v>
      </c>
      <c r="M27" s="337"/>
      <c r="N27" s="341"/>
      <c r="O27" s="338">
        <f t="shared" si="2"/>
        <v>0</v>
      </c>
      <c r="P27" s="341"/>
      <c r="Q27" s="431"/>
      <c r="R27" s="428">
        <f t="shared" si="3"/>
        <v>3.5000000000000003E-2</v>
      </c>
      <c r="S27" s="45">
        <f t="shared" si="23"/>
        <v>0</v>
      </c>
      <c r="T27" s="45">
        <f t="shared" si="24"/>
        <v>0</v>
      </c>
      <c r="U27" s="46"/>
      <c r="V27" s="407">
        <f t="shared" si="7"/>
        <v>0</v>
      </c>
      <c r="W27" s="45">
        <f t="shared" si="8"/>
        <v>0</v>
      </c>
      <c r="X27" s="45"/>
      <c r="Y27" s="45">
        <f t="shared" si="25"/>
        <v>0</v>
      </c>
      <c r="Z27" s="45" t="e">
        <f t="shared" si="9"/>
        <v>#DIV/0!</v>
      </c>
    </row>
    <row r="28" spans="3:26" ht="15" hidden="1" outlineLevel="2">
      <c r="C28" s="1464"/>
      <c r="D28" s="1464"/>
      <c r="E28" s="1466"/>
      <c r="F28" s="1468"/>
      <c r="G28" s="343"/>
      <c r="H28" s="335" t="s">
        <v>22</v>
      </c>
      <c r="I28" s="341"/>
      <c r="J28" s="341"/>
      <c r="K28" s="341" t="e">
        <f t="shared" si="26"/>
        <v>#DIV/0!</v>
      </c>
      <c r="L28" s="341">
        <f t="shared" si="27"/>
        <v>0</v>
      </c>
      <c r="M28" s="342"/>
      <c r="N28" s="341"/>
      <c r="O28" s="338">
        <f t="shared" si="2"/>
        <v>0</v>
      </c>
      <c r="P28" s="341"/>
      <c r="Q28" s="431"/>
      <c r="R28" s="428">
        <f t="shared" si="3"/>
        <v>3.5000000000000003E-2</v>
      </c>
      <c r="S28" s="45">
        <f t="shared" si="23"/>
        <v>0</v>
      </c>
      <c r="T28" s="45">
        <f t="shared" si="24"/>
        <v>0</v>
      </c>
      <c r="U28" s="46"/>
      <c r="V28" s="407">
        <f t="shared" si="7"/>
        <v>0</v>
      </c>
      <c r="W28" s="45">
        <f t="shared" si="8"/>
        <v>0</v>
      </c>
      <c r="X28" s="45"/>
      <c r="Y28" s="45">
        <f t="shared" si="25"/>
        <v>0</v>
      </c>
      <c r="Z28" s="45" t="e">
        <f t="shared" si="9"/>
        <v>#DIV/0!</v>
      </c>
    </row>
    <row r="29" spans="3:26" ht="15" hidden="1" outlineLevel="2">
      <c r="C29" s="1464"/>
      <c r="D29" s="1464"/>
      <c r="E29" s="1466"/>
      <c r="F29" s="1468"/>
      <c r="G29" s="343"/>
      <c r="H29" s="335" t="s">
        <v>22</v>
      </c>
      <c r="I29" s="341"/>
      <c r="J29" s="341"/>
      <c r="K29" s="341" t="e">
        <f t="shared" si="26"/>
        <v>#DIV/0!</v>
      </c>
      <c r="L29" s="341">
        <f t="shared" si="27"/>
        <v>0</v>
      </c>
      <c r="M29" s="342"/>
      <c r="N29" s="341"/>
      <c r="O29" s="338">
        <f t="shared" si="2"/>
        <v>0</v>
      </c>
      <c r="P29" s="341"/>
      <c r="Q29" s="431"/>
      <c r="R29" s="428">
        <f t="shared" si="3"/>
        <v>3.5000000000000003E-2</v>
      </c>
      <c r="S29" s="45">
        <f t="shared" si="23"/>
        <v>0</v>
      </c>
      <c r="T29" s="45">
        <f t="shared" si="24"/>
        <v>0</v>
      </c>
      <c r="U29" s="46"/>
      <c r="V29" s="407">
        <f t="shared" si="7"/>
        <v>0</v>
      </c>
      <c r="W29" s="45">
        <f t="shared" si="8"/>
        <v>0</v>
      </c>
      <c r="X29" s="45"/>
      <c r="Y29" s="45">
        <f t="shared" si="25"/>
        <v>0</v>
      </c>
      <c r="Z29" s="45" t="e">
        <f t="shared" si="9"/>
        <v>#DIV/0!</v>
      </c>
    </row>
    <row r="30" spans="3:26" ht="15" hidden="1" outlineLevel="2">
      <c r="C30" s="1464"/>
      <c r="D30" s="1464"/>
      <c r="E30" s="1466"/>
      <c r="F30" s="1468"/>
      <c r="G30" s="343"/>
      <c r="H30" s="335" t="s">
        <v>22</v>
      </c>
      <c r="I30" s="341"/>
      <c r="J30" s="341"/>
      <c r="K30" s="341" t="e">
        <f t="shared" si="26"/>
        <v>#DIV/0!</v>
      </c>
      <c r="L30" s="341">
        <f t="shared" si="27"/>
        <v>0</v>
      </c>
      <c r="M30" s="342"/>
      <c r="N30" s="341"/>
      <c r="O30" s="338">
        <f t="shared" si="2"/>
        <v>0</v>
      </c>
      <c r="P30" s="341"/>
      <c r="Q30" s="431"/>
      <c r="R30" s="428">
        <f t="shared" si="3"/>
        <v>3.5000000000000003E-2</v>
      </c>
      <c r="S30" s="45">
        <f t="shared" si="23"/>
        <v>0</v>
      </c>
      <c r="T30" s="45">
        <f t="shared" si="24"/>
        <v>0</v>
      </c>
      <c r="U30" s="46"/>
      <c r="V30" s="407">
        <f t="shared" si="7"/>
        <v>0</v>
      </c>
      <c r="W30" s="45">
        <f t="shared" si="8"/>
        <v>0</v>
      </c>
      <c r="X30" s="45"/>
      <c r="Y30" s="45">
        <f t="shared" si="25"/>
        <v>0</v>
      </c>
      <c r="Z30" s="45" t="e">
        <f t="shared" si="9"/>
        <v>#DIV/0!</v>
      </c>
    </row>
    <row r="31" spans="3:26" ht="15" hidden="1" outlineLevel="2">
      <c r="C31" s="1464"/>
      <c r="D31" s="1464"/>
      <c r="E31" s="1466"/>
      <c r="F31" s="1468"/>
      <c r="G31" s="343"/>
      <c r="H31" s="335" t="s">
        <v>22</v>
      </c>
      <c r="I31" s="341"/>
      <c r="J31" s="341"/>
      <c r="K31" s="341" t="e">
        <f t="shared" si="26"/>
        <v>#DIV/0!</v>
      </c>
      <c r="L31" s="341">
        <f t="shared" si="27"/>
        <v>0</v>
      </c>
      <c r="M31" s="342"/>
      <c r="N31" s="341"/>
      <c r="O31" s="338">
        <f t="shared" si="2"/>
        <v>0</v>
      </c>
      <c r="P31" s="341"/>
      <c r="Q31" s="431"/>
      <c r="R31" s="428">
        <f t="shared" si="3"/>
        <v>3.5000000000000003E-2</v>
      </c>
      <c r="S31" s="45">
        <f t="shared" si="23"/>
        <v>0</v>
      </c>
      <c r="T31" s="45">
        <f t="shared" si="24"/>
        <v>0</v>
      </c>
      <c r="U31" s="46"/>
      <c r="V31" s="407">
        <f t="shared" si="7"/>
        <v>0</v>
      </c>
      <c r="W31" s="45">
        <f t="shared" si="8"/>
        <v>0</v>
      </c>
      <c r="X31" s="45"/>
      <c r="Y31" s="45">
        <f t="shared" si="25"/>
        <v>0</v>
      </c>
      <c r="Z31" s="45" t="e">
        <f t="shared" si="9"/>
        <v>#DIV/0!</v>
      </c>
    </row>
    <row r="32" spans="3:26" ht="15" hidden="1" outlineLevel="2">
      <c r="C32" s="1464"/>
      <c r="D32" s="1464"/>
      <c r="E32" s="1466"/>
      <c r="F32" s="1468"/>
      <c r="G32" s="343"/>
      <c r="H32" s="335" t="s">
        <v>22</v>
      </c>
      <c r="I32" s="341"/>
      <c r="J32" s="341"/>
      <c r="K32" s="341" t="e">
        <f t="shared" si="26"/>
        <v>#DIV/0!</v>
      </c>
      <c r="L32" s="341">
        <f t="shared" si="27"/>
        <v>0</v>
      </c>
      <c r="M32" s="342"/>
      <c r="N32" s="341"/>
      <c r="O32" s="338">
        <f t="shared" si="2"/>
        <v>0</v>
      </c>
      <c r="P32" s="341"/>
      <c r="Q32" s="431"/>
      <c r="R32" s="428">
        <f t="shared" si="3"/>
        <v>3.5000000000000003E-2</v>
      </c>
      <c r="S32" s="45">
        <f t="shared" si="23"/>
        <v>0</v>
      </c>
      <c r="T32" s="45">
        <f t="shared" si="24"/>
        <v>0</v>
      </c>
      <c r="U32" s="46"/>
      <c r="V32" s="407">
        <f t="shared" si="7"/>
        <v>0</v>
      </c>
      <c r="W32" s="45">
        <f t="shared" si="8"/>
        <v>0</v>
      </c>
      <c r="X32" s="45"/>
      <c r="Y32" s="45">
        <f t="shared" si="25"/>
        <v>0</v>
      </c>
      <c r="Z32" s="45" t="e">
        <f t="shared" si="9"/>
        <v>#DIV/0!</v>
      </c>
    </row>
    <row r="33" spans="3:26" ht="15" hidden="1" outlineLevel="2">
      <c r="C33" s="1464"/>
      <c r="D33" s="1464"/>
      <c r="E33" s="1466"/>
      <c r="F33" s="1468"/>
      <c r="G33" s="344"/>
      <c r="H33" s="335" t="s">
        <v>22</v>
      </c>
      <c r="I33" s="345"/>
      <c r="J33" s="345"/>
      <c r="K33" s="341" t="e">
        <f t="shared" si="26"/>
        <v>#DIV/0!</v>
      </c>
      <c r="L33" s="341">
        <f t="shared" si="27"/>
        <v>0</v>
      </c>
      <c r="M33" s="346"/>
      <c r="N33" s="345"/>
      <c r="O33" s="338">
        <f t="shared" si="2"/>
        <v>0</v>
      </c>
      <c r="P33" s="345"/>
      <c r="Q33" s="432"/>
      <c r="R33" s="428">
        <f t="shared" si="3"/>
        <v>3.5000000000000003E-2</v>
      </c>
      <c r="S33" s="45">
        <f t="shared" si="23"/>
        <v>0</v>
      </c>
      <c r="T33" s="45">
        <f t="shared" si="24"/>
        <v>0</v>
      </c>
      <c r="U33" s="46"/>
      <c r="V33" s="407">
        <f t="shared" si="7"/>
        <v>0</v>
      </c>
      <c r="W33" s="45">
        <f t="shared" si="8"/>
        <v>0</v>
      </c>
      <c r="X33" s="45"/>
      <c r="Y33" s="45">
        <f t="shared" si="25"/>
        <v>0</v>
      </c>
      <c r="Z33" s="45" t="e">
        <f t="shared" si="9"/>
        <v>#DIV/0!</v>
      </c>
    </row>
    <row r="34" spans="3:26" ht="15" hidden="1" outlineLevel="2">
      <c r="C34" s="1464"/>
      <c r="D34" s="1464"/>
      <c r="E34" s="1466"/>
      <c r="F34" s="1468"/>
      <c r="G34" s="343"/>
      <c r="H34" s="335" t="s">
        <v>22</v>
      </c>
      <c r="I34" s="341"/>
      <c r="J34" s="341"/>
      <c r="K34" s="341" t="e">
        <f t="shared" si="26"/>
        <v>#DIV/0!</v>
      </c>
      <c r="L34" s="341">
        <f t="shared" si="27"/>
        <v>0</v>
      </c>
      <c r="M34" s="342"/>
      <c r="N34" s="341"/>
      <c r="O34" s="338">
        <f t="shared" si="2"/>
        <v>0</v>
      </c>
      <c r="P34" s="341"/>
      <c r="Q34" s="431"/>
      <c r="R34" s="428">
        <f t="shared" si="3"/>
        <v>3.5000000000000003E-2</v>
      </c>
      <c r="S34" s="45">
        <f t="shared" si="23"/>
        <v>0</v>
      </c>
      <c r="T34" s="45">
        <f t="shared" si="24"/>
        <v>0</v>
      </c>
      <c r="U34" s="46"/>
      <c r="V34" s="407">
        <f t="shared" si="7"/>
        <v>0</v>
      </c>
      <c r="W34" s="45">
        <f t="shared" si="8"/>
        <v>0</v>
      </c>
      <c r="X34" s="45"/>
      <c r="Y34" s="45">
        <f t="shared" si="25"/>
        <v>0</v>
      </c>
      <c r="Z34" s="45" t="e">
        <f t="shared" si="9"/>
        <v>#DIV/0!</v>
      </c>
    </row>
    <row r="35" spans="3:26" ht="15" hidden="1" outlineLevel="2">
      <c r="C35" s="1464"/>
      <c r="D35" s="1464"/>
      <c r="E35" s="1466"/>
      <c r="F35" s="1468"/>
      <c r="G35" s="1470" t="s">
        <v>44</v>
      </c>
      <c r="H35" s="1471"/>
      <c r="I35" s="347">
        <f>SUM(I25:I34)</f>
        <v>0</v>
      </c>
      <c r="J35" s="347">
        <f t="shared" ref="J35" si="28">SUM(J25:J34)</f>
        <v>0</v>
      </c>
      <c r="K35" s="347">
        <f>SUMIFS(K25:K34,K25:K34,"&lt;&gt;",K25:K34,"&lt;"&amp;99^99)</f>
        <v>0</v>
      </c>
      <c r="L35" s="347">
        <f>SUMIFS(L25:L34,L25:L34,"&lt;&gt;",L25:L34,"&lt;"&amp;99^99)</f>
        <v>0</v>
      </c>
      <c r="M35" s="348"/>
      <c r="N35" s="347">
        <f>N25</f>
        <v>0</v>
      </c>
      <c r="O35" s="349">
        <f t="shared" ref="O35:O66" si="29">IF(N35=0,0,N35/J35)</f>
        <v>0</v>
      </c>
      <c r="P35" s="347">
        <f t="shared" ref="P35:Q35" si="30">SUM(P25:P34)</f>
        <v>0</v>
      </c>
      <c r="Q35" s="433">
        <f t="shared" si="30"/>
        <v>0</v>
      </c>
      <c r="R35" s="55" t="str">
        <f t="shared" si="3"/>
        <v/>
      </c>
      <c r="S35" s="408">
        <f>SUM(S25:S34)</f>
        <v>0</v>
      </c>
      <c r="T35" s="408">
        <f t="shared" ref="T35" si="31">SUM(T25:T34)</f>
        <v>0</v>
      </c>
      <c r="U35" s="408"/>
      <c r="V35" s="408"/>
      <c r="W35" s="408">
        <f t="shared" ref="W35" si="32">SUM(W25:W34)</f>
        <v>0</v>
      </c>
      <c r="X35" s="408"/>
      <c r="Y35" s="408">
        <f t="shared" ref="Y35" si="33">SUM(Y25:Y34)</f>
        <v>0</v>
      </c>
      <c r="Z35" s="408">
        <f>SUMIFS(Z25:Z34,Y25:Y34,"&lt;&gt;",Z25:Z34,"&lt;"&amp;99^99)</f>
        <v>0</v>
      </c>
    </row>
    <row r="36" spans="3:26" ht="15" outlineLevel="1" collapsed="1">
      <c r="C36" s="1464"/>
      <c r="D36" s="1464"/>
      <c r="E36" s="1466"/>
      <c r="F36" s="1469"/>
      <c r="G36" s="1470" t="s">
        <v>177</v>
      </c>
      <c r="H36" s="1471"/>
      <c r="I36" s="347">
        <f>(I13/usdrate)+(I24*jodrate)+I35</f>
        <v>0</v>
      </c>
      <c r="J36" s="347">
        <f>(J13/usdrate)+(J24*jodrate)+J35</f>
        <v>0</v>
      </c>
      <c r="K36" s="347">
        <f>(K13/usdrate)+(K24*jodrate)+K35</f>
        <v>0</v>
      </c>
      <c r="L36" s="347">
        <f>(L13/usdrate)+(L24*jodrate)+L35</f>
        <v>0</v>
      </c>
      <c r="M36" s="348"/>
      <c r="N36" s="347">
        <f>(N13/usdrate)+(N24*jodrate)+N35</f>
        <v>0</v>
      </c>
      <c r="O36" s="349">
        <f t="shared" si="29"/>
        <v>0</v>
      </c>
      <c r="P36" s="347">
        <f>(P13/usdrate)+(P24*jodrate)+P35</f>
        <v>0</v>
      </c>
      <c r="Q36" s="433">
        <f>(Q13/usdrate)+(Q24*jodrate)+Q35</f>
        <v>0</v>
      </c>
      <c r="R36" s="429"/>
      <c r="S36" s="408">
        <f t="shared" ref="S36:Z36" si="34">(S13/usdrate)+(S24*jodrate)+S35</f>
        <v>0</v>
      </c>
      <c r="T36" s="408">
        <f t="shared" si="34"/>
        <v>0</v>
      </c>
      <c r="U36" s="408">
        <f t="shared" si="34"/>
        <v>0</v>
      </c>
      <c r="V36" s="408">
        <f t="shared" si="34"/>
        <v>0</v>
      </c>
      <c r="W36" s="408">
        <f t="shared" si="34"/>
        <v>0</v>
      </c>
      <c r="X36" s="408"/>
      <c r="Y36" s="408">
        <f t="shared" si="34"/>
        <v>0</v>
      </c>
      <c r="Z36" s="408">
        <f t="shared" si="34"/>
        <v>0</v>
      </c>
    </row>
    <row r="37" spans="3:26" ht="15" hidden="1" outlineLevel="2">
      <c r="C37" s="1464"/>
      <c r="D37" s="1464"/>
      <c r="E37" s="1466"/>
      <c r="F37" s="1472" t="s">
        <v>170</v>
      </c>
      <c r="G37" s="350"/>
      <c r="H37" s="335" t="s">
        <v>4</v>
      </c>
      <c r="I37" s="336"/>
      <c r="J37" s="336"/>
      <c r="K37" s="341">
        <f t="shared" ref="K37:K46" si="35">I37*R37/12</f>
        <v>0</v>
      </c>
      <c r="L37" s="341">
        <f t="shared" ref="L37:L46" si="36">J37*S37/12</f>
        <v>0</v>
      </c>
      <c r="M37" s="337"/>
      <c r="N37" s="336"/>
      <c r="O37" s="338">
        <f t="shared" si="29"/>
        <v>0</v>
      </c>
      <c r="P37" s="336"/>
      <c r="Q37" s="430"/>
      <c r="R37" s="28">
        <f t="shared" ref="R37:R69" si="37">IF(H37="USD",$B$4,IF(H37="ILS",$B$2,IF(H37="JOD",$B$3,"")))</f>
        <v>0.05</v>
      </c>
      <c r="S37" s="14"/>
      <c r="T37" s="14">
        <f t="shared" ref="T37:T46" si="38">I37*R37</f>
        <v>0</v>
      </c>
      <c r="U37" s="14"/>
      <c r="V37" s="14">
        <v>1</v>
      </c>
      <c r="W37" s="14">
        <f>T37*V37</f>
        <v>0</v>
      </c>
      <c r="X37" s="35">
        <f t="shared" ref="X37:X46" si="39">W37/usdrate</f>
        <v>0</v>
      </c>
      <c r="Y37" s="14"/>
      <c r="Z37" s="14"/>
    </row>
    <row r="38" spans="3:26" ht="15" hidden="1" outlineLevel="2">
      <c r="C38" s="1464"/>
      <c r="D38" s="1464"/>
      <c r="E38" s="1466"/>
      <c r="F38" s="1468"/>
      <c r="G38" s="343"/>
      <c r="H38" s="335" t="s">
        <v>4</v>
      </c>
      <c r="I38" s="341"/>
      <c r="J38" s="341"/>
      <c r="K38" s="341">
        <f t="shared" si="35"/>
        <v>0</v>
      </c>
      <c r="L38" s="341">
        <f t="shared" si="36"/>
        <v>0</v>
      </c>
      <c r="M38" s="342"/>
      <c r="N38" s="341">
        <v>0</v>
      </c>
      <c r="O38" s="338">
        <f t="shared" si="29"/>
        <v>0</v>
      </c>
      <c r="P38" s="341"/>
      <c r="Q38" s="431"/>
      <c r="R38" s="28">
        <f t="shared" si="37"/>
        <v>0.05</v>
      </c>
      <c r="S38" s="14"/>
      <c r="T38" s="14">
        <f t="shared" si="38"/>
        <v>0</v>
      </c>
      <c r="U38" s="14"/>
      <c r="V38" s="14">
        <v>1</v>
      </c>
      <c r="W38" s="14">
        <f t="shared" ref="W38:W68" si="40">T38*V38</f>
        <v>0</v>
      </c>
      <c r="X38" s="35">
        <f t="shared" si="39"/>
        <v>0</v>
      </c>
      <c r="Y38" s="14"/>
      <c r="Z38" s="14"/>
    </row>
    <row r="39" spans="3:26" ht="15" hidden="1" outlineLevel="2">
      <c r="C39" s="1464"/>
      <c r="D39" s="1464"/>
      <c r="E39" s="1466"/>
      <c r="F39" s="1468"/>
      <c r="G39" s="343"/>
      <c r="H39" s="335" t="s">
        <v>4</v>
      </c>
      <c r="I39" s="341"/>
      <c r="J39" s="341"/>
      <c r="K39" s="341">
        <f t="shared" si="35"/>
        <v>0</v>
      </c>
      <c r="L39" s="341">
        <f t="shared" si="36"/>
        <v>0</v>
      </c>
      <c r="M39" s="337"/>
      <c r="N39" s="341"/>
      <c r="O39" s="338">
        <f t="shared" si="29"/>
        <v>0</v>
      </c>
      <c r="P39" s="341"/>
      <c r="Q39" s="431"/>
      <c r="R39" s="28">
        <f t="shared" si="37"/>
        <v>0.05</v>
      </c>
      <c r="S39" s="14"/>
      <c r="T39" s="14">
        <f t="shared" si="38"/>
        <v>0</v>
      </c>
      <c r="U39" s="14"/>
      <c r="V39" s="14">
        <v>1</v>
      </c>
      <c r="W39" s="14">
        <f t="shared" si="40"/>
        <v>0</v>
      </c>
      <c r="X39" s="35">
        <f t="shared" si="39"/>
        <v>0</v>
      </c>
      <c r="Y39" s="14"/>
      <c r="Z39" s="14"/>
    </row>
    <row r="40" spans="3:26" ht="15" hidden="1" outlineLevel="2">
      <c r="C40" s="1464"/>
      <c r="D40" s="1464"/>
      <c r="E40" s="1466"/>
      <c r="F40" s="1468"/>
      <c r="G40" s="343"/>
      <c r="H40" s="335" t="s">
        <v>4</v>
      </c>
      <c r="I40" s="341"/>
      <c r="J40" s="341"/>
      <c r="K40" s="341">
        <f t="shared" si="35"/>
        <v>0</v>
      </c>
      <c r="L40" s="341">
        <f t="shared" si="36"/>
        <v>0</v>
      </c>
      <c r="M40" s="342"/>
      <c r="N40" s="341"/>
      <c r="O40" s="338">
        <f t="shared" si="29"/>
        <v>0</v>
      </c>
      <c r="P40" s="341"/>
      <c r="Q40" s="431"/>
      <c r="R40" s="28">
        <f t="shared" si="37"/>
        <v>0.05</v>
      </c>
      <c r="S40" s="14"/>
      <c r="T40" s="14">
        <f t="shared" si="38"/>
        <v>0</v>
      </c>
      <c r="U40" s="14"/>
      <c r="V40" s="14">
        <v>1</v>
      </c>
      <c r="W40" s="14">
        <f t="shared" si="40"/>
        <v>0</v>
      </c>
      <c r="X40" s="35">
        <f t="shared" si="39"/>
        <v>0</v>
      </c>
      <c r="Y40" s="14"/>
      <c r="Z40" s="14"/>
    </row>
    <row r="41" spans="3:26" ht="15" hidden="1" outlineLevel="2">
      <c r="C41" s="1464"/>
      <c r="D41" s="1464"/>
      <c r="E41" s="1466"/>
      <c r="F41" s="1468"/>
      <c r="G41" s="343"/>
      <c r="H41" s="335" t="s">
        <v>4</v>
      </c>
      <c r="I41" s="341"/>
      <c r="J41" s="341"/>
      <c r="K41" s="341">
        <f t="shared" si="35"/>
        <v>0</v>
      </c>
      <c r="L41" s="341">
        <f t="shared" si="36"/>
        <v>0</v>
      </c>
      <c r="M41" s="342"/>
      <c r="N41" s="341"/>
      <c r="O41" s="338">
        <f t="shared" si="29"/>
        <v>0</v>
      </c>
      <c r="P41" s="341"/>
      <c r="Q41" s="431"/>
      <c r="R41" s="28">
        <f t="shared" si="37"/>
        <v>0.05</v>
      </c>
      <c r="S41" s="14"/>
      <c r="T41" s="14">
        <f t="shared" si="38"/>
        <v>0</v>
      </c>
      <c r="U41" s="14"/>
      <c r="V41" s="14">
        <v>1</v>
      </c>
      <c r="W41" s="14">
        <f t="shared" si="40"/>
        <v>0</v>
      </c>
      <c r="X41" s="35">
        <f t="shared" si="39"/>
        <v>0</v>
      </c>
      <c r="Y41" s="14"/>
      <c r="Z41" s="14"/>
    </row>
    <row r="42" spans="3:26" ht="15" hidden="1" outlineLevel="2">
      <c r="C42" s="1464"/>
      <c r="D42" s="1464"/>
      <c r="E42" s="1466"/>
      <c r="F42" s="1468"/>
      <c r="G42" s="343"/>
      <c r="H42" s="335" t="s">
        <v>4</v>
      </c>
      <c r="I42" s="341"/>
      <c r="J42" s="341"/>
      <c r="K42" s="341">
        <f t="shared" si="35"/>
        <v>0</v>
      </c>
      <c r="L42" s="341">
        <f t="shared" si="36"/>
        <v>0</v>
      </c>
      <c r="M42" s="342"/>
      <c r="N42" s="341"/>
      <c r="O42" s="338">
        <f t="shared" si="29"/>
        <v>0</v>
      </c>
      <c r="P42" s="341"/>
      <c r="Q42" s="431"/>
      <c r="R42" s="28">
        <f t="shared" si="37"/>
        <v>0.05</v>
      </c>
      <c r="S42" s="14"/>
      <c r="T42" s="14">
        <f t="shared" si="38"/>
        <v>0</v>
      </c>
      <c r="U42" s="14"/>
      <c r="V42" s="14">
        <v>1</v>
      </c>
      <c r="W42" s="14">
        <f t="shared" si="40"/>
        <v>0</v>
      </c>
      <c r="X42" s="35">
        <f t="shared" si="39"/>
        <v>0</v>
      </c>
      <c r="Y42" s="14"/>
      <c r="Z42" s="14"/>
    </row>
    <row r="43" spans="3:26" ht="15" hidden="1" outlineLevel="2">
      <c r="C43" s="1464"/>
      <c r="D43" s="1464"/>
      <c r="E43" s="1466"/>
      <c r="F43" s="1468"/>
      <c r="G43" s="343"/>
      <c r="H43" s="335" t="s">
        <v>4</v>
      </c>
      <c r="I43" s="341"/>
      <c r="J43" s="341"/>
      <c r="K43" s="341">
        <f t="shared" si="35"/>
        <v>0</v>
      </c>
      <c r="L43" s="341">
        <f t="shared" si="36"/>
        <v>0</v>
      </c>
      <c r="M43" s="342"/>
      <c r="N43" s="341"/>
      <c r="O43" s="338">
        <f t="shared" si="29"/>
        <v>0</v>
      </c>
      <c r="P43" s="341"/>
      <c r="Q43" s="431"/>
      <c r="R43" s="28">
        <f t="shared" si="37"/>
        <v>0.05</v>
      </c>
      <c r="S43" s="14"/>
      <c r="T43" s="14">
        <f t="shared" si="38"/>
        <v>0</v>
      </c>
      <c r="U43" s="14"/>
      <c r="V43" s="14">
        <v>1</v>
      </c>
      <c r="W43" s="14">
        <f t="shared" si="40"/>
        <v>0</v>
      </c>
      <c r="X43" s="35">
        <f t="shared" si="39"/>
        <v>0</v>
      </c>
      <c r="Y43" s="14"/>
      <c r="Z43" s="14"/>
    </row>
    <row r="44" spans="3:26" ht="15" hidden="1" outlineLevel="2">
      <c r="C44" s="1464"/>
      <c r="D44" s="1464"/>
      <c r="E44" s="1466"/>
      <c r="F44" s="1468"/>
      <c r="G44" s="343"/>
      <c r="H44" s="335" t="s">
        <v>4</v>
      </c>
      <c r="I44" s="341"/>
      <c r="J44" s="341"/>
      <c r="K44" s="341">
        <f t="shared" si="35"/>
        <v>0</v>
      </c>
      <c r="L44" s="341">
        <f t="shared" si="36"/>
        <v>0</v>
      </c>
      <c r="M44" s="342"/>
      <c r="N44" s="341"/>
      <c r="O44" s="338">
        <f t="shared" si="29"/>
        <v>0</v>
      </c>
      <c r="P44" s="341"/>
      <c r="Q44" s="431"/>
      <c r="R44" s="28">
        <f t="shared" si="37"/>
        <v>0.05</v>
      </c>
      <c r="S44" s="14"/>
      <c r="T44" s="14">
        <f t="shared" si="38"/>
        <v>0</v>
      </c>
      <c r="U44" s="14"/>
      <c r="V44" s="14">
        <v>1</v>
      </c>
      <c r="W44" s="14">
        <f t="shared" si="40"/>
        <v>0</v>
      </c>
      <c r="X44" s="35">
        <f t="shared" si="39"/>
        <v>0</v>
      </c>
      <c r="Y44" s="14"/>
      <c r="Z44" s="14"/>
    </row>
    <row r="45" spans="3:26" ht="15" hidden="1" outlineLevel="2">
      <c r="C45" s="1464"/>
      <c r="D45" s="1464"/>
      <c r="E45" s="1466"/>
      <c r="F45" s="1468"/>
      <c r="G45" s="344"/>
      <c r="H45" s="335" t="s">
        <v>4</v>
      </c>
      <c r="I45" s="345"/>
      <c r="J45" s="345"/>
      <c r="K45" s="341">
        <f t="shared" si="35"/>
        <v>0</v>
      </c>
      <c r="L45" s="341">
        <f t="shared" si="36"/>
        <v>0</v>
      </c>
      <c r="M45" s="346"/>
      <c r="N45" s="345"/>
      <c r="O45" s="338">
        <f t="shared" si="29"/>
        <v>0</v>
      </c>
      <c r="P45" s="345"/>
      <c r="Q45" s="432"/>
      <c r="R45" s="28">
        <f t="shared" si="37"/>
        <v>0.05</v>
      </c>
      <c r="S45" s="14"/>
      <c r="T45" s="14">
        <f t="shared" si="38"/>
        <v>0</v>
      </c>
      <c r="U45" s="14"/>
      <c r="V45" s="14">
        <v>1</v>
      </c>
      <c r="W45" s="14">
        <f t="shared" si="40"/>
        <v>0</v>
      </c>
      <c r="X45" s="35">
        <f t="shared" si="39"/>
        <v>0</v>
      </c>
      <c r="Y45" s="14"/>
      <c r="Z45" s="14"/>
    </row>
    <row r="46" spans="3:26" ht="15" hidden="1" outlineLevel="2">
      <c r="C46" s="1464"/>
      <c r="D46" s="1464"/>
      <c r="E46" s="1466"/>
      <c r="F46" s="1468"/>
      <c r="G46" s="343"/>
      <c r="H46" s="335" t="s">
        <v>4</v>
      </c>
      <c r="I46" s="341"/>
      <c r="J46" s="341"/>
      <c r="K46" s="341">
        <f t="shared" si="35"/>
        <v>0</v>
      </c>
      <c r="L46" s="341">
        <f t="shared" si="36"/>
        <v>0</v>
      </c>
      <c r="M46" s="342"/>
      <c r="N46" s="341"/>
      <c r="O46" s="338">
        <f t="shared" si="29"/>
        <v>0</v>
      </c>
      <c r="P46" s="341"/>
      <c r="Q46" s="431"/>
      <c r="R46" s="28">
        <f t="shared" si="37"/>
        <v>0.05</v>
      </c>
      <c r="S46" s="14"/>
      <c r="T46" s="14">
        <f t="shared" si="38"/>
        <v>0</v>
      </c>
      <c r="U46" s="14"/>
      <c r="V46" s="14">
        <v>1</v>
      </c>
      <c r="W46" s="14">
        <f t="shared" si="40"/>
        <v>0</v>
      </c>
      <c r="X46" s="35">
        <f t="shared" si="39"/>
        <v>0</v>
      </c>
      <c r="Y46" s="14"/>
      <c r="Z46" s="14"/>
    </row>
    <row r="47" spans="3:26" ht="15" hidden="1" outlineLevel="2">
      <c r="C47" s="1464"/>
      <c r="D47" s="1464"/>
      <c r="E47" s="1466"/>
      <c r="F47" s="1468"/>
      <c r="G47" s="1470" t="s">
        <v>45</v>
      </c>
      <c r="H47" s="1471"/>
      <c r="I47" s="347">
        <f>SUM(I37:I46)</f>
        <v>0</v>
      </c>
      <c r="J47" s="347">
        <f t="shared" ref="J47:K47" si="41">SUM(J37:J46)</f>
        <v>0</v>
      </c>
      <c r="K47" s="347">
        <f t="shared" si="41"/>
        <v>0</v>
      </c>
      <c r="L47" s="347">
        <f t="shared" ref="L47" si="42">SUM(L37:L46)</f>
        <v>0</v>
      </c>
      <c r="M47" s="348"/>
      <c r="N47" s="347">
        <f>N37</f>
        <v>0</v>
      </c>
      <c r="O47" s="349">
        <f t="shared" si="29"/>
        <v>0</v>
      </c>
      <c r="P47" s="347">
        <f t="shared" ref="P47:Q47" si="43">SUM(P37:P46)</f>
        <v>0</v>
      </c>
      <c r="Q47" s="433">
        <f t="shared" si="43"/>
        <v>0</v>
      </c>
      <c r="R47" s="36" t="str">
        <f t="shared" si="37"/>
        <v/>
      </c>
      <c r="S47" s="36">
        <f>SUM(S37:S46)</f>
        <v>0</v>
      </c>
      <c r="T47" s="36">
        <f t="shared" ref="T47:W47" si="44">SUM(T37:T46)</f>
        <v>0</v>
      </c>
      <c r="U47" s="36"/>
      <c r="V47" s="36"/>
      <c r="W47" s="36">
        <f t="shared" si="44"/>
        <v>0</v>
      </c>
      <c r="X47" s="36"/>
      <c r="Y47" s="14"/>
      <c r="Z47" s="14"/>
    </row>
    <row r="48" spans="3:26" ht="15" hidden="1" outlineLevel="2">
      <c r="C48" s="1464"/>
      <c r="D48" s="1464"/>
      <c r="E48" s="1466"/>
      <c r="F48" s="1468"/>
      <c r="G48" s="350"/>
      <c r="H48" s="340" t="s">
        <v>28</v>
      </c>
      <c r="I48" s="336"/>
      <c r="J48" s="336"/>
      <c r="K48" s="341">
        <f t="shared" ref="K48:K57" si="45">I48*R48/12</f>
        <v>0</v>
      </c>
      <c r="L48" s="341">
        <f t="shared" ref="L48:L57" si="46">J48*S48/12</f>
        <v>0</v>
      </c>
      <c r="M48" s="337"/>
      <c r="N48" s="336"/>
      <c r="O48" s="338">
        <f t="shared" si="29"/>
        <v>0</v>
      </c>
      <c r="P48" s="336"/>
      <c r="Q48" s="430"/>
      <c r="R48" s="28">
        <f t="shared" si="37"/>
        <v>3.5000000000000003E-2</v>
      </c>
      <c r="S48" s="14"/>
      <c r="T48" s="14">
        <f t="shared" ref="T48:T57" si="47">I48*R48</f>
        <v>0</v>
      </c>
      <c r="U48" s="14"/>
      <c r="V48" s="14">
        <v>1</v>
      </c>
      <c r="W48" s="14">
        <f t="shared" si="40"/>
        <v>0</v>
      </c>
      <c r="X48" s="35">
        <f t="shared" ref="X48:X57" si="48">W48/usdrate</f>
        <v>0</v>
      </c>
      <c r="Y48" s="14"/>
      <c r="Z48" s="14"/>
    </row>
    <row r="49" spans="3:26" ht="15" hidden="1" outlineLevel="2">
      <c r="C49" s="1464"/>
      <c r="D49" s="1464"/>
      <c r="E49" s="1466"/>
      <c r="F49" s="1468"/>
      <c r="G49" s="343"/>
      <c r="H49" s="340" t="s">
        <v>28</v>
      </c>
      <c r="I49" s="341"/>
      <c r="J49" s="341"/>
      <c r="K49" s="341">
        <f t="shared" si="45"/>
        <v>0</v>
      </c>
      <c r="L49" s="341">
        <f t="shared" si="46"/>
        <v>0</v>
      </c>
      <c r="M49" s="342"/>
      <c r="N49" s="341"/>
      <c r="O49" s="338">
        <f t="shared" si="29"/>
        <v>0</v>
      </c>
      <c r="P49" s="341"/>
      <c r="Q49" s="431"/>
      <c r="R49" s="28">
        <f t="shared" si="37"/>
        <v>3.5000000000000003E-2</v>
      </c>
      <c r="S49" s="14"/>
      <c r="T49" s="14">
        <f t="shared" si="47"/>
        <v>0</v>
      </c>
      <c r="U49" s="14"/>
      <c r="V49" s="14">
        <v>1</v>
      </c>
      <c r="W49" s="14">
        <f t="shared" si="40"/>
        <v>0</v>
      </c>
      <c r="X49" s="35">
        <f t="shared" si="48"/>
        <v>0</v>
      </c>
      <c r="Y49" s="14"/>
      <c r="Z49" s="14"/>
    </row>
    <row r="50" spans="3:26" ht="15" hidden="1" outlineLevel="2">
      <c r="C50" s="1464"/>
      <c r="D50" s="1464"/>
      <c r="E50" s="1466"/>
      <c r="F50" s="1468"/>
      <c r="G50" s="343"/>
      <c r="H50" s="340" t="s">
        <v>28</v>
      </c>
      <c r="I50" s="341"/>
      <c r="J50" s="341"/>
      <c r="K50" s="341">
        <f t="shared" si="45"/>
        <v>0</v>
      </c>
      <c r="L50" s="341">
        <f t="shared" si="46"/>
        <v>0</v>
      </c>
      <c r="M50" s="337"/>
      <c r="N50" s="341"/>
      <c r="O50" s="338">
        <f t="shared" si="29"/>
        <v>0</v>
      </c>
      <c r="P50" s="341"/>
      <c r="Q50" s="431"/>
      <c r="R50" s="28">
        <f t="shared" si="37"/>
        <v>3.5000000000000003E-2</v>
      </c>
      <c r="S50" s="14"/>
      <c r="T50" s="14">
        <f t="shared" si="47"/>
        <v>0</v>
      </c>
      <c r="U50" s="14"/>
      <c r="V50" s="14">
        <v>1</v>
      </c>
      <c r="W50" s="14">
        <f t="shared" si="40"/>
        <v>0</v>
      </c>
      <c r="X50" s="35">
        <f t="shared" si="48"/>
        <v>0</v>
      </c>
      <c r="Y50" s="14"/>
      <c r="Z50" s="14"/>
    </row>
    <row r="51" spans="3:26" ht="15" hidden="1" outlineLevel="2">
      <c r="C51" s="1464"/>
      <c r="D51" s="1464"/>
      <c r="E51" s="1466"/>
      <c r="F51" s="1468"/>
      <c r="G51" s="343"/>
      <c r="H51" s="340" t="s">
        <v>28</v>
      </c>
      <c r="I51" s="341"/>
      <c r="J51" s="341"/>
      <c r="K51" s="341">
        <f t="shared" si="45"/>
        <v>0</v>
      </c>
      <c r="L51" s="341">
        <f t="shared" si="46"/>
        <v>0</v>
      </c>
      <c r="M51" s="342"/>
      <c r="N51" s="341"/>
      <c r="O51" s="338">
        <f t="shared" si="29"/>
        <v>0</v>
      </c>
      <c r="P51" s="341"/>
      <c r="Q51" s="431"/>
      <c r="R51" s="28">
        <f t="shared" si="37"/>
        <v>3.5000000000000003E-2</v>
      </c>
      <c r="S51" s="14"/>
      <c r="T51" s="14">
        <f t="shared" si="47"/>
        <v>0</v>
      </c>
      <c r="U51" s="14"/>
      <c r="V51" s="14">
        <v>1</v>
      </c>
      <c r="W51" s="14">
        <f t="shared" si="40"/>
        <v>0</v>
      </c>
      <c r="X51" s="35">
        <f t="shared" si="48"/>
        <v>0</v>
      </c>
      <c r="Y51" s="14"/>
      <c r="Z51" s="14"/>
    </row>
    <row r="52" spans="3:26" ht="15" hidden="1" outlineLevel="2">
      <c r="C52" s="1464"/>
      <c r="D52" s="1464"/>
      <c r="E52" s="1466"/>
      <c r="F52" s="1468"/>
      <c r="G52" s="343"/>
      <c r="H52" s="340" t="s">
        <v>28</v>
      </c>
      <c r="I52" s="341"/>
      <c r="J52" s="341"/>
      <c r="K52" s="341">
        <f t="shared" si="45"/>
        <v>0</v>
      </c>
      <c r="L52" s="341">
        <f t="shared" si="46"/>
        <v>0</v>
      </c>
      <c r="M52" s="342"/>
      <c r="N52" s="341"/>
      <c r="O52" s="338">
        <f t="shared" si="29"/>
        <v>0</v>
      </c>
      <c r="P52" s="341"/>
      <c r="Q52" s="431"/>
      <c r="R52" s="28">
        <f t="shared" si="37"/>
        <v>3.5000000000000003E-2</v>
      </c>
      <c r="S52" s="14"/>
      <c r="T52" s="14">
        <f t="shared" si="47"/>
        <v>0</v>
      </c>
      <c r="U52" s="14"/>
      <c r="V52" s="14">
        <v>1</v>
      </c>
      <c r="W52" s="14">
        <f t="shared" si="40"/>
        <v>0</v>
      </c>
      <c r="X52" s="35">
        <f t="shared" si="48"/>
        <v>0</v>
      </c>
      <c r="Y52" s="14"/>
      <c r="Z52" s="14"/>
    </row>
    <row r="53" spans="3:26" ht="15" hidden="1" outlineLevel="2">
      <c r="C53" s="1464"/>
      <c r="D53" s="1464"/>
      <c r="E53" s="1466"/>
      <c r="F53" s="1468"/>
      <c r="G53" s="343"/>
      <c r="H53" s="340" t="s">
        <v>28</v>
      </c>
      <c r="I53" s="341"/>
      <c r="J53" s="341"/>
      <c r="K53" s="341">
        <f t="shared" si="45"/>
        <v>0</v>
      </c>
      <c r="L53" s="341">
        <f t="shared" si="46"/>
        <v>0</v>
      </c>
      <c r="M53" s="342"/>
      <c r="N53" s="341"/>
      <c r="O53" s="338">
        <f t="shared" si="29"/>
        <v>0</v>
      </c>
      <c r="P53" s="341"/>
      <c r="Q53" s="431"/>
      <c r="R53" s="28">
        <f t="shared" si="37"/>
        <v>3.5000000000000003E-2</v>
      </c>
      <c r="S53" s="14"/>
      <c r="T53" s="14">
        <f t="shared" si="47"/>
        <v>0</v>
      </c>
      <c r="U53" s="14"/>
      <c r="V53" s="14">
        <v>1</v>
      </c>
      <c r="W53" s="14">
        <f t="shared" si="40"/>
        <v>0</v>
      </c>
      <c r="X53" s="35">
        <f t="shared" si="48"/>
        <v>0</v>
      </c>
      <c r="Y53" s="14"/>
      <c r="Z53" s="14"/>
    </row>
    <row r="54" spans="3:26" ht="15" hidden="1" outlineLevel="2">
      <c r="C54" s="1464"/>
      <c r="D54" s="1464"/>
      <c r="E54" s="1466"/>
      <c r="F54" s="1468"/>
      <c r="G54" s="343"/>
      <c r="H54" s="340" t="s">
        <v>28</v>
      </c>
      <c r="I54" s="341"/>
      <c r="J54" s="341"/>
      <c r="K54" s="341">
        <f t="shared" si="45"/>
        <v>0</v>
      </c>
      <c r="L54" s="341">
        <f t="shared" si="46"/>
        <v>0</v>
      </c>
      <c r="M54" s="342"/>
      <c r="N54" s="341"/>
      <c r="O54" s="338">
        <f t="shared" si="29"/>
        <v>0</v>
      </c>
      <c r="P54" s="341"/>
      <c r="Q54" s="431"/>
      <c r="R54" s="28">
        <f t="shared" si="37"/>
        <v>3.5000000000000003E-2</v>
      </c>
      <c r="S54" s="14"/>
      <c r="T54" s="14">
        <f t="shared" si="47"/>
        <v>0</v>
      </c>
      <c r="U54" s="14"/>
      <c r="V54" s="14">
        <v>1</v>
      </c>
      <c r="W54" s="14">
        <f t="shared" si="40"/>
        <v>0</v>
      </c>
      <c r="X54" s="35">
        <f t="shared" si="48"/>
        <v>0</v>
      </c>
      <c r="Y54" s="29"/>
      <c r="Z54" s="29"/>
    </row>
    <row r="55" spans="3:26" ht="15" hidden="1" outlineLevel="2">
      <c r="C55" s="1464"/>
      <c r="D55" s="1464"/>
      <c r="E55" s="1466"/>
      <c r="F55" s="1468"/>
      <c r="G55" s="343"/>
      <c r="H55" s="340" t="s">
        <v>28</v>
      </c>
      <c r="I55" s="341"/>
      <c r="J55" s="341"/>
      <c r="K55" s="341">
        <f t="shared" si="45"/>
        <v>0</v>
      </c>
      <c r="L55" s="341">
        <f t="shared" si="46"/>
        <v>0</v>
      </c>
      <c r="M55" s="342"/>
      <c r="N55" s="341"/>
      <c r="O55" s="338">
        <f t="shared" si="29"/>
        <v>0</v>
      </c>
      <c r="P55" s="341"/>
      <c r="Q55" s="431"/>
      <c r="R55" s="28">
        <f t="shared" si="37"/>
        <v>3.5000000000000003E-2</v>
      </c>
      <c r="S55" s="14"/>
      <c r="T55" s="14">
        <f t="shared" si="47"/>
        <v>0</v>
      </c>
      <c r="U55" s="14"/>
      <c r="V55" s="14">
        <v>1</v>
      </c>
      <c r="W55" s="14">
        <f t="shared" si="40"/>
        <v>0</v>
      </c>
      <c r="X55" s="35">
        <f t="shared" si="48"/>
        <v>0</v>
      </c>
      <c r="Y55" s="14"/>
      <c r="Z55" s="14"/>
    </row>
    <row r="56" spans="3:26" ht="15" hidden="1" outlineLevel="2">
      <c r="C56" s="1464"/>
      <c r="D56" s="1464"/>
      <c r="E56" s="1466"/>
      <c r="F56" s="1468"/>
      <c r="G56" s="344"/>
      <c r="H56" s="340" t="s">
        <v>28</v>
      </c>
      <c r="I56" s="345"/>
      <c r="J56" s="345"/>
      <c r="K56" s="341">
        <f t="shared" si="45"/>
        <v>0</v>
      </c>
      <c r="L56" s="341">
        <f t="shared" si="46"/>
        <v>0</v>
      </c>
      <c r="M56" s="346"/>
      <c r="N56" s="345"/>
      <c r="O56" s="338">
        <f t="shared" si="29"/>
        <v>0</v>
      </c>
      <c r="P56" s="345"/>
      <c r="Q56" s="432"/>
      <c r="R56" s="28">
        <f t="shared" si="37"/>
        <v>3.5000000000000003E-2</v>
      </c>
      <c r="S56" s="14"/>
      <c r="T56" s="14">
        <f t="shared" si="47"/>
        <v>0</v>
      </c>
      <c r="U56" s="14"/>
      <c r="V56" s="14">
        <v>1</v>
      </c>
      <c r="W56" s="14">
        <f t="shared" si="40"/>
        <v>0</v>
      </c>
      <c r="X56" s="35">
        <f t="shared" si="48"/>
        <v>0</v>
      </c>
      <c r="Y56" s="14"/>
      <c r="Z56" s="14"/>
    </row>
    <row r="57" spans="3:26" ht="15" hidden="1" outlineLevel="2">
      <c r="C57" s="1464"/>
      <c r="D57" s="1464"/>
      <c r="E57" s="1466"/>
      <c r="F57" s="1468"/>
      <c r="G57" s="343"/>
      <c r="H57" s="340" t="s">
        <v>28</v>
      </c>
      <c r="I57" s="341"/>
      <c r="J57" s="341"/>
      <c r="K57" s="341">
        <f t="shared" si="45"/>
        <v>0</v>
      </c>
      <c r="L57" s="341">
        <f t="shared" si="46"/>
        <v>0</v>
      </c>
      <c r="M57" s="342"/>
      <c r="N57" s="341"/>
      <c r="O57" s="338">
        <f t="shared" si="29"/>
        <v>0</v>
      </c>
      <c r="P57" s="341"/>
      <c r="Q57" s="431"/>
      <c r="R57" s="28">
        <f t="shared" si="37"/>
        <v>3.5000000000000003E-2</v>
      </c>
      <c r="S57" s="14"/>
      <c r="T57" s="14">
        <f t="shared" si="47"/>
        <v>0</v>
      </c>
      <c r="U57" s="14"/>
      <c r="V57" s="14">
        <v>1</v>
      </c>
      <c r="W57" s="14">
        <f t="shared" si="40"/>
        <v>0</v>
      </c>
      <c r="X57" s="35">
        <f t="shared" si="48"/>
        <v>0</v>
      </c>
      <c r="Y57" s="14"/>
      <c r="Z57" s="14"/>
    </row>
    <row r="58" spans="3:26" ht="15" hidden="1" outlineLevel="2">
      <c r="C58" s="1464"/>
      <c r="D58" s="1464"/>
      <c r="E58" s="1466"/>
      <c r="F58" s="1468"/>
      <c r="G58" s="1470" t="s">
        <v>51</v>
      </c>
      <c r="H58" s="1471"/>
      <c r="I58" s="347">
        <f>SUM(I48:I57)</f>
        <v>0</v>
      </c>
      <c r="J58" s="347">
        <f t="shared" ref="J58:K58" si="49">SUM(J48:J57)</f>
        <v>0</v>
      </c>
      <c r="K58" s="347">
        <f t="shared" si="49"/>
        <v>0</v>
      </c>
      <c r="L58" s="347">
        <f t="shared" ref="L58" si="50">SUM(L48:L57)</f>
        <v>0</v>
      </c>
      <c r="M58" s="348"/>
      <c r="N58" s="347">
        <f>N48</f>
        <v>0</v>
      </c>
      <c r="O58" s="349">
        <f t="shared" si="29"/>
        <v>0</v>
      </c>
      <c r="P58" s="347">
        <f t="shared" ref="P58:Q58" si="51">SUM(P48:P57)</f>
        <v>0</v>
      </c>
      <c r="Q58" s="433">
        <f t="shared" si="51"/>
        <v>0</v>
      </c>
      <c r="R58" s="36" t="str">
        <f t="shared" si="37"/>
        <v/>
      </c>
      <c r="S58" s="36">
        <f>SUM(S48:S57)</f>
        <v>0</v>
      </c>
      <c r="T58" s="36">
        <f t="shared" ref="T58:W58" si="52">SUM(T48:T57)</f>
        <v>0</v>
      </c>
      <c r="U58" s="36"/>
      <c r="V58" s="36"/>
      <c r="W58" s="36">
        <f t="shared" si="52"/>
        <v>0</v>
      </c>
      <c r="X58" s="36"/>
      <c r="Y58" s="14"/>
      <c r="Z58" s="14"/>
    </row>
    <row r="59" spans="3:26" ht="15" hidden="1" outlineLevel="2">
      <c r="C59" s="1464"/>
      <c r="D59" s="1464"/>
      <c r="E59" s="1466"/>
      <c r="F59" s="1468"/>
      <c r="G59" s="350"/>
      <c r="H59" s="335" t="s">
        <v>22</v>
      </c>
      <c r="I59" s="336"/>
      <c r="J59" s="336"/>
      <c r="K59" s="341">
        <f t="shared" ref="K59:K68" si="53">I59*R59/12</f>
        <v>0</v>
      </c>
      <c r="L59" s="341">
        <f t="shared" ref="L59:L68" si="54">J59*S59/12</f>
        <v>0</v>
      </c>
      <c r="M59" s="337"/>
      <c r="N59" s="336"/>
      <c r="O59" s="338">
        <f t="shared" si="29"/>
        <v>0</v>
      </c>
      <c r="P59" s="336"/>
      <c r="Q59" s="430"/>
      <c r="R59" s="28">
        <f t="shared" si="37"/>
        <v>3.5000000000000003E-2</v>
      </c>
      <c r="S59" s="14"/>
      <c r="T59" s="14">
        <f t="shared" ref="T59:T68" si="55">I59*R59</f>
        <v>0</v>
      </c>
      <c r="U59" s="14"/>
      <c r="V59" s="14">
        <v>1</v>
      </c>
      <c r="W59" s="14">
        <f t="shared" si="40"/>
        <v>0</v>
      </c>
      <c r="X59" s="35">
        <f t="shared" ref="X59:X68" si="56">W59/usdrate</f>
        <v>0</v>
      </c>
      <c r="Y59" s="14"/>
      <c r="Z59" s="14"/>
    </row>
    <row r="60" spans="3:26" ht="15" hidden="1" outlineLevel="2">
      <c r="C60" s="1464"/>
      <c r="D60" s="1464"/>
      <c r="E60" s="1466"/>
      <c r="F60" s="1468"/>
      <c r="G60" s="343"/>
      <c r="H60" s="335" t="s">
        <v>22</v>
      </c>
      <c r="I60" s="341"/>
      <c r="J60" s="341"/>
      <c r="K60" s="341">
        <f t="shared" si="53"/>
        <v>0</v>
      </c>
      <c r="L60" s="341">
        <f t="shared" si="54"/>
        <v>0</v>
      </c>
      <c r="M60" s="342"/>
      <c r="N60" s="341"/>
      <c r="O60" s="338">
        <f t="shared" si="29"/>
        <v>0</v>
      </c>
      <c r="P60" s="341"/>
      <c r="Q60" s="431"/>
      <c r="R60" s="28">
        <f t="shared" si="37"/>
        <v>3.5000000000000003E-2</v>
      </c>
      <c r="S60" s="14"/>
      <c r="T60" s="14">
        <f t="shared" si="55"/>
        <v>0</v>
      </c>
      <c r="U60" s="14"/>
      <c r="V60" s="14">
        <v>1</v>
      </c>
      <c r="W60" s="14">
        <f t="shared" si="40"/>
        <v>0</v>
      </c>
      <c r="X60" s="35">
        <f t="shared" si="56"/>
        <v>0</v>
      </c>
      <c r="Y60" s="14"/>
      <c r="Z60" s="14"/>
    </row>
    <row r="61" spans="3:26" ht="15" hidden="1" outlineLevel="2">
      <c r="C61" s="1464"/>
      <c r="D61" s="1464"/>
      <c r="E61" s="1466"/>
      <c r="F61" s="1468"/>
      <c r="G61" s="343"/>
      <c r="H61" s="335" t="s">
        <v>22</v>
      </c>
      <c r="I61" s="341"/>
      <c r="J61" s="341"/>
      <c r="K61" s="341">
        <f t="shared" si="53"/>
        <v>0</v>
      </c>
      <c r="L61" s="341">
        <f t="shared" si="54"/>
        <v>0</v>
      </c>
      <c r="M61" s="337"/>
      <c r="N61" s="341"/>
      <c r="O61" s="338">
        <f t="shared" si="29"/>
        <v>0</v>
      </c>
      <c r="P61" s="341"/>
      <c r="Q61" s="431"/>
      <c r="R61" s="28">
        <f t="shared" si="37"/>
        <v>3.5000000000000003E-2</v>
      </c>
      <c r="S61" s="14"/>
      <c r="T61" s="14">
        <f t="shared" si="55"/>
        <v>0</v>
      </c>
      <c r="U61" s="14"/>
      <c r="V61" s="14">
        <v>1</v>
      </c>
      <c r="W61" s="14">
        <f t="shared" si="40"/>
        <v>0</v>
      </c>
      <c r="X61" s="35">
        <f t="shared" si="56"/>
        <v>0</v>
      </c>
      <c r="Y61" s="14"/>
      <c r="Z61" s="14"/>
    </row>
    <row r="62" spans="3:26" ht="15" hidden="1" outlineLevel="2">
      <c r="C62" s="1464"/>
      <c r="D62" s="1464"/>
      <c r="E62" s="1466"/>
      <c r="F62" s="1468"/>
      <c r="G62" s="343"/>
      <c r="H62" s="335" t="s">
        <v>22</v>
      </c>
      <c r="I62" s="341"/>
      <c r="J62" s="341"/>
      <c r="K62" s="341">
        <f t="shared" si="53"/>
        <v>0</v>
      </c>
      <c r="L62" s="341">
        <f t="shared" si="54"/>
        <v>0</v>
      </c>
      <c r="M62" s="342"/>
      <c r="N62" s="341"/>
      <c r="O62" s="338">
        <f t="shared" si="29"/>
        <v>0</v>
      </c>
      <c r="P62" s="341"/>
      <c r="Q62" s="431"/>
      <c r="R62" s="28">
        <f t="shared" si="37"/>
        <v>3.5000000000000003E-2</v>
      </c>
      <c r="S62" s="14"/>
      <c r="T62" s="14">
        <f t="shared" si="55"/>
        <v>0</v>
      </c>
      <c r="U62" s="14"/>
      <c r="V62" s="14">
        <v>1</v>
      </c>
      <c r="W62" s="14">
        <f t="shared" si="40"/>
        <v>0</v>
      </c>
      <c r="X62" s="35">
        <f t="shared" si="56"/>
        <v>0</v>
      </c>
      <c r="Y62" s="14"/>
      <c r="Z62" s="14"/>
    </row>
    <row r="63" spans="3:26" ht="15" hidden="1" outlineLevel="2">
      <c r="C63" s="1464"/>
      <c r="D63" s="1464"/>
      <c r="E63" s="1466"/>
      <c r="F63" s="1468"/>
      <c r="G63" s="343"/>
      <c r="H63" s="335" t="s">
        <v>22</v>
      </c>
      <c r="I63" s="341"/>
      <c r="J63" s="341"/>
      <c r="K63" s="341">
        <f t="shared" si="53"/>
        <v>0</v>
      </c>
      <c r="L63" s="341">
        <f t="shared" si="54"/>
        <v>0</v>
      </c>
      <c r="M63" s="342"/>
      <c r="N63" s="341"/>
      <c r="O63" s="338">
        <f t="shared" si="29"/>
        <v>0</v>
      </c>
      <c r="P63" s="341"/>
      <c r="Q63" s="431"/>
      <c r="R63" s="28">
        <f t="shared" si="37"/>
        <v>3.5000000000000003E-2</v>
      </c>
      <c r="S63" s="14"/>
      <c r="T63" s="14">
        <f t="shared" si="55"/>
        <v>0</v>
      </c>
      <c r="U63" s="14"/>
      <c r="V63" s="14">
        <v>1</v>
      </c>
      <c r="W63" s="14">
        <f t="shared" si="40"/>
        <v>0</v>
      </c>
      <c r="X63" s="35">
        <f t="shared" si="56"/>
        <v>0</v>
      </c>
      <c r="Y63" s="14"/>
      <c r="Z63" s="14"/>
    </row>
    <row r="64" spans="3:26" ht="15" hidden="1" outlineLevel="2">
      <c r="C64" s="1464"/>
      <c r="D64" s="1464"/>
      <c r="E64" s="1466"/>
      <c r="F64" s="1468"/>
      <c r="G64" s="343"/>
      <c r="H64" s="335" t="s">
        <v>22</v>
      </c>
      <c r="I64" s="341"/>
      <c r="J64" s="341"/>
      <c r="K64" s="341">
        <f t="shared" si="53"/>
        <v>0</v>
      </c>
      <c r="L64" s="341">
        <f t="shared" si="54"/>
        <v>0</v>
      </c>
      <c r="M64" s="342"/>
      <c r="N64" s="341"/>
      <c r="O64" s="338">
        <f t="shared" si="29"/>
        <v>0</v>
      </c>
      <c r="P64" s="341"/>
      <c r="Q64" s="431"/>
      <c r="R64" s="28">
        <f t="shared" si="37"/>
        <v>3.5000000000000003E-2</v>
      </c>
      <c r="S64" s="14"/>
      <c r="T64" s="14">
        <f t="shared" si="55"/>
        <v>0</v>
      </c>
      <c r="U64" s="14"/>
      <c r="V64" s="14">
        <v>1</v>
      </c>
      <c r="W64" s="14">
        <f t="shared" si="40"/>
        <v>0</v>
      </c>
      <c r="X64" s="35">
        <f t="shared" si="56"/>
        <v>0</v>
      </c>
      <c r="Y64" s="14"/>
      <c r="Z64" s="14"/>
    </row>
    <row r="65" spans="3:26" ht="15" hidden="1" outlineLevel="2">
      <c r="C65" s="1464"/>
      <c r="D65" s="1464"/>
      <c r="E65" s="1466"/>
      <c r="F65" s="1468"/>
      <c r="G65" s="343"/>
      <c r="H65" s="335" t="s">
        <v>22</v>
      </c>
      <c r="I65" s="341"/>
      <c r="J65" s="341"/>
      <c r="K65" s="341">
        <f t="shared" si="53"/>
        <v>0</v>
      </c>
      <c r="L65" s="341">
        <f t="shared" si="54"/>
        <v>0</v>
      </c>
      <c r="M65" s="342"/>
      <c r="N65" s="341"/>
      <c r="O65" s="338">
        <f t="shared" si="29"/>
        <v>0</v>
      </c>
      <c r="P65" s="341"/>
      <c r="Q65" s="431"/>
      <c r="R65" s="28">
        <f t="shared" si="37"/>
        <v>3.5000000000000003E-2</v>
      </c>
      <c r="S65" s="14"/>
      <c r="T65" s="14">
        <f t="shared" si="55"/>
        <v>0</v>
      </c>
      <c r="U65" s="14"/>
      <c r="V65" s="14">
        <v>1</v>
      </c>
      <c r="W65" s="14">
        <f t="shared" si="40"/>
        <v>0</v>
      </c>
      <c r="X65" s="35">
        <f t="shared" si="56"/>
        <v>0</v>
      </c>
      <c r="Y65" s="14"/>
      <c r="Z65" s="14"/>
    </row>
    <row r="66" spans="3:26" ht="15" hidden="1" outlineLevel="2">
      <c r="C66" s="1464"/>
      <c r="D66" s="1464"/>
      <c r="E66" s="1466"/>
      <c r="F66" s="1468"/>
      <c r="G66" s="343"/>
      <c r="H66" s="335" t="s">
        <v>22</v>
      </c>
      <c r="I66" s="341"/>
      <c r="J66" s="341"/>
      <c r="K66" s="341">
        <f t="shared" si="53"/>
        <v>0</v>
      </c>
      <c r="L66" s="341">
        <f t="shared" si="54"/>
        <v>0</v>
      </c>
      <c r="M66" s="342"/>
      <c r="N66" s="341"/>
      <c r="O66" s="338">
        <f t="shared" si="29"/>
        <v>0</v>
      </c>
      <c r="P66" s="341"/>
      <c r="Q66" s="431"/>
      <c r="R66" s="28">
        <f t="shared" si="37"/>
        <v>3.5000000000000003E-2</v>
      </c>
      <c r="S66" s="14"/>
      <c r="T66" s="14">
        <f t="shared" si="55"/>
        <v>0</v>
      </c>
      <c r="U66" s="14"/>
      <c r="V66" s="14">
        <v>1</v>
      </c>
      <c r="W66" s="14">
        <f t="shared" si="40"/>
        <v>0</v>
      </c>
      <c r="X66" s="35">
        <f t="shared" si="56"/>
        <v>0</v>
      </c>
      <c r="Y66" s="14"/>
      <c r="Z66" s="14"/>
    </row>
    <row r="67" spans="3:26" ht="15" hidden="1" outlineLevel="2">
      <c r="C67" s="1464"/>
      <c r="D67" s="1464"/>
      <c r="E67" s="1466"/>
      <c r="F67" s="1468"/>
      <c r="G67" s="344"/>
      <c r="H67" s="335" t="s">
        <v>22</v>
      </c>
      <c r="I67" s="345"/>
      <c r="J67" s="345"/>
      <c r="K67" s="341">
        <f t="shared" si="53"/>
        <v>0</v>
      </c>
      <c r="L67" s="341">
        <f t="shared" si="54"/>
        <v>0</v>
      </c>
      <c r="M67" s="346"/>
      <c r="N67" s="345"/>
      <c r="O67" s="338">
        <f t="shared" ref="O67:O98" si="57">IF(N67=0,0,N67/J67)</f>
        <v>0</v>
      </c>
      <c r="P67" s="345"/>
      <c r="Q67" s="432"/>
      <c r="R67" s="28">
        <f t="shared" si="37"/>
        <v>3.5000000000000003E-2</v>
      </c>
      <c r="S67" s="14"/>
      <c r="T67" s="14">
        <f t="shared" si="55"/>
        <v>0</v>
      </c>
      <c r="U67" s="14"/>
      <c r="V67" s="14">
        <v>1</v>
      </c>
      <c r="W67" s="14">
        <f t="shared" si="40"/>
        <v>0</v>
      </c>
      <c r="X67" s="35">
        <f t="shared" si="56"/>
        <v>0</v>
      </c>
      <c r="Y67" s="14"/>
      <c r="Z67" s="14"/>
    </row>
    <row r="68" spans="3:26" ht="15" hidden="1" outlineLevel="2">
      <c r="C68" s="1464"/>
      <c r="D68" s="1464"/>
      <c r="E68" s="1466"/>
      <c r="F68" s="1468"/>
      <c r="G68" s="343"/>
      <c r="H68" s="335" t="s">
        <v>22</v>
      </c>
      <c r="I68" s="341"/>
      <c r="J68" s="341"/>
      <c r="K68" s="341">
        <f t="shared" si="53"/>
        <v>0</v>
      </c>
      <c r="L68" s="341">
        <f t="shared" si="54"/>
        <v>0</v>
      </c>
      <c r="M68" s="342"/>
      <c r="N68" s="341"/>
      <c r="O68" s="338">
        <f t="shared" si="57"/>
        <v>0</v>
      </c>
      <c r="P68" s="341"/>
      <c r="Q68" s="431"/>
      <c r="R68" s="28">
        <f t="shared" si="37"/>
        <v>3.5000000000000003E-2</v>
      </c>
      <c r="S68" s="14"/>
      <c r="T68" s="14">
        <f t="shared" si="55"/>
        <v>0</v>
      </c>
      <c r="U68" s="14"/>
      <c r="V68" s="14">
        <v>1</v>
      </c>
      <c r="W68" s="14">
        <f t="shared" si="40"/>
        <v>0</v>
      </c>
      <c r="X68" s="35">
        <f t="shared" si="56"/>
        <v>0</v>
      </c>
      <c r="Y68" s="14"/>
      <c r="Z68" s="14"/>
    </row>
    <row r="69" spans="3:26" ht="15" hidden="1" outlineLevel="2">
      <c r="C69" s="1464"/>
      <c r="D69" s="1464"/>
      <c r="E69" s="1466"/>
      <c r="F69" s="1468"/>
      <c r="G69" s="1470" t="s">
        <v>44</v>
      </c>
      <c r="H69" s="1471"/>
      <c r="I69" s="347">
        <f>SUM(I59:I68)</f>
        <v>0</v>
      </c>
      <c r="J69" s="347">
        <f t="shared" ref="J69" si="58">SUM(J59:J68)</f>
        <v>0</v>
      </c>
      <c r="K69" s="347">
        <f>SUM(K59:K68)</f>
        <v>0</v>
      </c>
      <c r="L69" s="347">
        <f>SUM(L59:L68)</f>
        <v>0</v>
      </c>
      <c r="M69" s="348"/>
      <c r="N69" s="347">
        <f>N59</f>
        <v>0</v>
      </c>
      <c r="O69" s="349">
        <f t="shared" si="57"/>
        <v>0</v>
      </c>
      <c r="P69" s="347">
        <f t="shared" ref="P69:Q69" si="59">SUM(P59:P68)</f>
        <v>0</v>
      </c>
      <c r="Q69" s="433">
        <f t="shared" si="59"/>
        <v>0</v>
      </c>
      <c r="R69" s="36" t="str">
        <f t="shared" si="37"/>
        <v/>
      </c>
      <c r="S69" s="36">
        <f>SUM(S59:S68)</f>
        <v>0</v>
      </c>
      <c r="T69" s="36">
        <f t="shared" ref="T69:W69" si="60">SUM(T59:T68)</f>
        <v>0</v>
      </c>
      <c r="U69" s="36"/>
      <c r="V69" s="36"/>
      <c r="W69" s="36">
        <f t="shared" si="60"/>
        <v>0</v>
      </c>
      <c r="X69" s="36"/>
      <c r="Y69" s="14"/>
      <c r="Z69" s="14"/>
    </row>
    <row r="70" spans="3:26" ht="15" outlineLevel="1" collapsed="1">
      <c r="C70" s="1464"/>
      <c r="D70" s="1464"/>
      <c r="E70" s="1466"/>
      <c r="F70" s="1469"/>
      <c r="G70" s="1470" t="s">
        <v>177</v>
      </c>
      <c r="H70" s="1471"/>
      <c r="I70" s="347">
        <f>(I47/usdrate)+(I58*jodrate)+I69</f>
        <v>0</v>
      </c>
      <c r="J70" s="347">
        <f>(J47/usdrate)+(J58*jodrate)+J69</f>
        <v>0</v>
      </c>
      <c r="K70" s="347">
        <f>(K47/usdrate)+(K58*jodrate)+K69</f>
        <v>0</v>
      </c>
      <c r="L70" s="347">
        <f>(L47/usdrate)+(L58*jodrate)+L69</f>
        <v>0</v>
      </c>
      <c r="M70" s="348"/>
      <c r="N70" s="347">
        <f>(N47/usdrate)+(N58*jodrate)+N69</f>
        <v>0</v>
      </c>
      <c r="O70" s="349">
        <f t="shared" si="57"/>
        <v>0</v>
      </c>
      <c r="P70" s="347">
        <f>(P47/usdrate)+(P58*jodrate)+P69</f>
        <v>0</v>
      </c>
      <c r="Q70" s="433">
        <f>(Q47/usdrate)+(Q58*jodrate)+Q69</f>
        <v>0</v>
      </c>
      <c r="R70" s="58"/>
      <c r="S70" s="36">
        <f t="shared" ref="S70:W70" si="61">(S47/usdrate)+(S58*jodrate)+S69</f>
        <v>0</v>
      </c>
      <c r="T70" s="36">
        <f t="shared" si="61"/>
        <v>0</v>
      </c>
      <c r="U70" s="36">
        <f t="shared" si="61"/>
        <v>0</v>
      </c>
      <c r="V70" s="36">
        <f t="shared" si="61"/>
        <v>0</v>
      </c>
      <c r="W70" s="36">
        <f t="shared" si="61"/>
        <v>0</v>
      </c>
      <c r="X70" s="36"/>
      <c r="Y70" s="14"/>
      <c r="Z70" s="14"/>
    </row>
    <row r="71" spans="3:26" ht="15" hidden="1" outlineLevel="2">
      <c r="C71" s="1464"/>
      <c r="D71" s="1464"/>
      <c r="E71" s="1466"/>
      <c r="F71" s="1472" t="s">
        <v>171</v>
      </c>
      <c r="G71" s="353"/>
      <c r="H71" s="340" t="s">
        <v>4</v>
      </c>
      <c r="I71" s="341"/>
      <c r="J71" s="341"/>
      <c r="K71" s="341"/>
      <c r="L71" s="341"/>
      <c r="M71" s="337"/>
      <c r="N71" s="336"/>
      <c r="O71" s="338">
        <f t="shared" si="57"/>
        <v>0</v>
      </c>
      <c r="P71" s="341"/>
      <c r="Q71" s="431"/>
      <c r="R71" s="28"/>
      <c r="S71" s="14"/>
      <c r="T71" s="14"/>
      <c r="U71" s="14"/>
      <c r="V71" s="14"/>
      <c r="W71" s="14"/>
      <c r="X71" s="14"/>
      <c r="Y71" s="14"/>
      <c r="Z71" s="14"/>
    </row>
    <row r="72" spans="3:26" ht="15" hidden="1" outlineLevel="2">
      <c r="C72" s="1464"/>
      <c r="D72" s="1464"/>
      <c r="E72" s="1466"/>
      <c r="F72" s="1468"/>
      <c r="G72" s="343"/>
      <c r="H72" s="340" t="s">
        <v>4</v>
      </c>
      <c r="I72" s="341"/>
      <c r="J72" s="341"/>
      <c r="K72" s="341"/>
      <c r="L72" s="341"/>
      <c r="M72" s="342"/>
      <c r="N72" s="341">
        <v>0</v>
      </c>
      <c r="O72" s="338">
        <f t="shared" si="57"/>
        <v>0</v>
      </c>
      <c r="P72" s="341"/>
      <c r="Q72" s="431"/>
      <c r="R72" s="28"/>
      <c r="S72" s="14"/>
      <c r="T72" s="14"/>
      <c r="U72" s="14"/>
      <c r="V72" s="14"/>
      <c r="W72" s="14"/>
      <c r="X72" s="14"/>
      <c r="Y72" s="14"/>
      <c r="Z72" s="14"/>
    </row>
    <row r="73" spans="3:26" ht="15" hidden="1" outlineLevel="2">
      <c r="C73" s="1464"/>
      <c r="D73" s="1464"/>
      <c r="E73" s="1466"/>
      <c r="F73" s="1468"/>
      <c r="G73" s="343"/>
      <c r="H73" s="340" t="s">
        <v>4</v>
      </c>
      <c r="I73" s="341"/>
      <c r="J73" s="341"/>
      <c r="K73" s="341"/>
      <c r="L73" s="341"/>
      <c r="M73" s="337"/>
      <c r="N73" s="341"/>
      <c r="O73" s="338">
        <f t="shared" si="57"/>
        <v>0</v>
      </c>
      <c r="P73" s="341"/>
      <c r="Q73" s="431"/>
      <c r="R73" s="28"/>
      <c r="S73" s="14"/>
      <c r="T73" s="14"/>
      <c r="U73" s="14"/>
      <c r="V73" s="14"/>
      <c r="W73" s="14"/>
      <c r="X73" s="14"/>
      <c r="Y73" s="14"/>
      <c r="Z73" s="14"/>
    </row>
    <row r="74" spans="3:26" ht="15" hidden="1" outlineLevel="2">
      <c r="C74" s="1464"/>
      <c r="D74" s="1464"/>
      <c r="E74" s="1466"/>
      <c r="F74" s="1468"/>
      <c r="G74" s="343"/>
      <c r="H74" s="340" t="s">
        <v>4</v>
      </c>
      <c r="I74" s="341"/>
      <c r="J74" s="341"/>
      <c r="K74" s="341"/>
      <c r="L74" s="341"/>
      <c r="M74" s="342"/>
      <c r="N74" s="341"/>
      <c r="O74" s="338">
        <f t="shared" si="57"/>
        <v>0</v>
      </c>
      <c r="P74" s="341"/>
      <c r="Q74" s="431"/>
      <c r="R74" s="28"/>
      <c r="S74" s="14"/>
      <c r="T74" s="14"/>
      <c r="U74" s="14"/>
      <c r="V74" s="14"/>
      <c r="W74" s="14"/>
      <c r="X74" s="14"/>
      <c r="Y74" s="14"/>
      <c r="Z74" s="14"/>
    </row>
    <row r="75" spans="3:26" ht="15" hidden="1" outlineLevel="2">
      <c r="C75" s="1464"/>
      <c r="D75" s="1464"/>
      <c r="E75" s="1466"/>
      <c r="F75" s="1468"/>
      <c r="G75" s="343"/>
      <c r="H75" s="340" t="s">
        <v>4</v>
      </c>
      <c r="I75" s="341"/>
      <c r="J75" s="341"/>
      <c r="K75" s="341"/>
      <c r="L75" s="341"/>
      <c r="M75" s="342"/>
      <c r="N75" s="341"/>
      <c r="O75" s="338">
        <f t="shared" si="57"/>
        <v>0</v>
      </c>
      <c r="P75" s="341"/>
      <c r="Q75" s="431"/>
      <c r="R75" s="28"/>
      <c r="S75" s="29"/>
      <c r="T75" s="29"/>
      <c r="U75" s="29"/>
      <c r="V75" s="29"/>
      <c r="W75" s="29"/>
      <c r="X75" s="29"/>
      <c r="Y75" s="29"/>
      <c r="Z75" s="29"/>
    </row>
    <row r="76" spans="3:26" ht="15" hidden="1" outlineLevel="2">
      <c r="C76" s="1464"/>
      <c r="D76" s="1464"/>
      <c r="E76" s="1466"/>
      <c r="F76" s="1468"/>
      <c r="G76" s="343"/>
      <c r="H76" s="340" t="s">
        <v>4</v>
      </c>
      <c r="I76" s="341"/>
      <c r="J76" s="341"/>
      <c r="K76" s="341"/>
      <c r="L76" s="341"/>
      <c r="M76" s="342"/>
      <c r="N76" s="341"/>
      <c r="O76" s="338">
        <f t="shared" si="57"/>
        <v>0</v>
      </c>
      <c r="P76" s="341"/>
      <c r="Q76" s="431"/>
      <c r="R76" s="28"/>
      <c r="S76" s="14"/>
      <c r="T76" s="14"/>
      <c r="U76" s="14"/>
      <c r="V76" s="14"/>
      <c r="W76" s="14"/>
      <c r="X76" s="14"/>
      <c r="Y76" s="14"/>
      <c r="Z76" s="14"/>
    </row>
    <row r="77" spans="3:26" ht="15" hidden="1" outlineLevel="2">
      <c r="C77" s="1464"/>
      <c r="D77" s="1464"/>
      <c r="E77" s="1466"/>
      <c r="F77" s="1468"/>
      <c r="G77" s="343"/>
      <c r="H77" s="340" t="s">
        <v>4</v>
      </c>
      <c r="I77" s="341"/>
      <c r="J77" s="341"/>
      <c r="K77" s="341"/>
      <c r="L77" s="341"/>
      <c r="M77" s="342"/>
      <c r="N77" s="341"/>
      <c r="O77" s="338">
        <f t="shared" si="57"/>
        <v>0</v>
      </c>
      <c r="P77" s="341"/>
      <c r="Q77" s="431"/>
      <c r="R77" s="28"/>
      <c r="S77" s="14"/>
      <c r="T77" s="14"/>
      <c r="U77" s="14"/>
      <c r="V77" s="14"/>
      <c r="W77" s="14"/>
      <c r="X77" s="14"/>
      <c r="Y77" s="14"/>
      <c r="Z77" s="14"/>
    </row>
    <row r="78" spans="3:26" ht="15" hidden="1" outlineLevel="2">
      <c r="C78" s="1464"/>
      <c r="D78" s="1464"/>
      <c r="E78" s="1466"/>
      <c r="F78" s="1468"/>
      <c r="G78" s="343"/>
      <c r="H78" s="340" t="s">
        <v>4</v>
      </c>
      <c r="I78" s="341"/>
      <c r="J78" s="341"/>
      <c r="K78" s="341"/>
      <c r="L78" s="341"/>
      <c r="M78" s="342"/>
      <c r="N78" s="341"/>
      <c r="O78" s="338">
        <f t="shared" si="57"/>
        <v>0</v>
      </c>
      <c r="P78" s="341"/>
      <c r="Q78" s="431"/>
      <c r="R78" s="28"/>
      <c r="S78" s="14"/>
      <c r="T78" s="14"/>
      <c r="U78" s="14"/>
      <c r="V78" s="14"/>
      <c r="W78" s="14"/>
      <c r="X78" s="14"/>
      <c r="Y78" s="14"/>
      <c r="Z78" s="14"/>
    </row>
    <row r="79" spans="3:26" ht="15" hidden="1" outlineLevel="2">
      <c r="C79" s="1464"/>
      <c r="D79" s="1464"/>
      <c r="E79" s="1466"/>
      <c r="F79" s="1468"/>
      <c r="G79" s="344"/>
      <c r="H79" s="340" t="s">
        <v>4</v>
      </c>
      <c r="I79" s="345"/>
      <c r="J79" s="345"/>
      <c r="K79" s="345"/>
      <c r="L79" s="345"/>
      <c r="M79" s="346"/>
      <c r="N79" s="345"/>
      <c r="O79" s="338">
        <f t="shared" si="57"/>
        <v>0</v>
      </c>
      <c r="P79" s="345"/>
      <c r="Q79" s="432"/>
      <c r="R79" s="28"/>
      <c r="S79" s="30"/>
      <c r="T79" s="30"/>
      <c r="U79" s="30"/>
      <c r="V79" s="30"/>
      <c r="W79" s="30"/>
      <c r="X79" s="30"/>
      <c r="Y79" s="30"/>
      <c r="Z79" s="30"/>
    </row>
    <row r="80" spans="3:26" ht="15" hidden="1" outlineLevel="2">
      <c r="C80" s="1464"/>
      <c r="D80" s="1464"/>
      <c r="E80" s="1466"/>
      <c r="F80" s="1468"/>
      <c r="G80" s="343"/>
      <c r="H80" s="340" t="s">
        <v>4</v>
      </c>
      <c r="I80" s="341"/>
      <c r="J80" s="341"/>
      <c r="K80" s="341"/>
      <c r="L80" s="341"/>
      <c r="M80" s="342"/>
      <c r="N80" s="341"/>
      <c r="O80" s="338">
        <f t="shared" si="57"/>
        <v>0</v>
      </c>
      <c r="P80" s="341"/>
      <c r="Q80" s="431"/>
      <c r="R80" s="28"/>
      <c r="S80" s="14"/>
      <c r="T80" s="14"/>
      <c r="U80" s="14"/>
      <c r="V80" s="14"/>
      <c r="W80" s="14"/>
      <c r="X80" s="14"/>
      <c r="Y80" s="14"/>
      <c r="Z80" s="14"/>
    </row>
    <row r="81" spans="3:26" ht="15" hidden="1" outlineLevel="2">
      <c r="C81" s="1464"/>
      <c r="D81" s="1464"/>
      <c r="E81" s="1466"/>
      <c r="F81" s="1468"/>
      <c r="G81" s="1470" t="s">
        <v>45</v>
      </c>
      <c r="H81" s="1471"/>
      <c r="I81" s="347">
        <f>SUM(I71:I80)</f>
        <v>0</v>
      </c>
      <c r="J81" s="347">
        <f t="shared" ref="J81:K81" si="62">SUM(J71:J80)</f>
        <v>0</v>
      </c>
      <c r="K81" s="347">
        <f t="shared" si="62"/>
        <v>0</v>
      </c>
      <c r="L81" s="347">
        <f t="shared" ref="L81" si="63">SUM(L71:L80)</f>
        <v>0</v>
      </c>
      <c r="M81" s="348"/>
      <c r="N81" s="347">
        <f>N71</f>
        <v>0</v>
      </c>
      <c r="O81" s="349">
        <f t="shared" si="57"/>
        <v>0</v>
      </c>
      <c r="P81" s="347">
        <f t="shared" ref="P81:Q81" si="64">SUM(P71:P80)</f>
        <v>0</v>
      </c>
      <c r="Q81" s="433">
        <f t="shared" si="64"/>
        <v>0</v>
      </c>
      <c r="R81" s="28"/>
      <c r="S81" s="14"/>
      <c r="T81" s="14"/>
      <c r="U81" s="14"/>
      <c r="V81" s="14"/>
      <c r="W81" s="14"/>
      <c r="X81" s="14"/>
      <c r="Y81" s="14"/>
      <c r="Z81" s="14"/>
    </row>
    <row r="82" spans="3:26" ht="15" hidden="1" outlineLevel="2">
      <c r="C82" s="1464"/>
      <c r="D82" s="1464"/>
      <c r="E82" s="1466"/>
      <c r="F82" s="1468"/>
      <c r="G82" s="350"/>
      <c r="H82" s="335" t="s">
        <v>28</v>
      </c>
      <c r="I82" s="336"/>
      <c r="J82" s="336"/>
      <c r="K82" s="336"/>
      <c r="L82" s="336"/>
      <c r="M82" s="337"/>
      <c r="N82" s="336"/>
      <c r="O82" s="338">
        <f t="shared" si="57"/>
        <v>0</v>
      </c>
      <c r="P82" s="336"/>
      <c r="Q82" s="430"/>
      <c r="R82" s="28"/>
      <c r="S82" s="14"/>
      <c r="T82" s="14"/>
      <c r="U82" s="14"/>
      <c r="V82" s="14"/>
      <c r="W82" s="14"/>
      <c r="X82" s="14"/>
      <c r="Y82" s="14"/>
      <c r="Z82" s="14"/>
    </row>
    <row r="83" spans="3:26" ht="15" hidden="1" outlineLevel="2">
      <c r="C83" s="1464"/>
      <c r="D83" s="1464"/>
      <c r="E83" s="1466"/>
      <c r="F83" s="1468"/>
      <c r="G83" s="343"/>
      <c r="H83" s="335" t="s">
        <v>28</v>
      </c>
      <c r="I83" s="341"/>
      <c r="J83" s="341"/>
      <c r="K83" s="341"/>
      <c r="L83" s="341"/>
      <c r="M83" s="342"/>
      <c r="N83" s="341"/>
      <c r="O83" s="338">
        <f t="shared" si="57"/>
        <v>0</v>
      </c>
      <c r="P83" s="341"/>
      <c r="Q83" s="431"/>
      <c r="R83" s="28"/>
      <c r="S83" s="30"/>
      <c r="T83" s="30"/>
      <c r="U83" s="30"/>
      <c r="V83" s="30"/>
      <c r="W83" s="30"/>
      <c r="X83" s="30"/>
      <c r="Y83" s="30"/>
      <c r="Z83" s="30"/>
    </row>
    <row r="84" spans="3:26" ht="15" hidden="1" outlineLevel="2">
      <c r="C84" s="1464"/>
      <c r="D84" s="1464"/>
      <c r="E84" s="1466"/>
      <c r="F84" s="1468"/>
      <c r="G84" s="343"/>
      <c r="H84" s="335" t="s">
        <v>28</v>
      </c>
      <c r="I84" s="341"/>
      <c r="J84" s="341"/>
      <c r="K84" s="341"/>
      <c r="L84" s="341"/>
      <c r="M84" s="337"/>
      <c r="N84" s="341"/>
      <c r="O84" s="338">
        <f t="shared" si="57"/>
        <v>0</v>
      </c>
      <c r="P84" s="341"/>
      <c r="Q84" s="431"/>
      <c r="R84" s="28"/>
      <c r="S84" s="14"/>
      <c r="T84" s="14"/>
      <c r="U84" s="14"/>
      <c r="V84" s="14"/>
      <c r="W84" s="14"/>
      <c r="X84" s="14"/>
      <c r="Y84" s="14"/>
      <c r="Z84" s="14"/>
    </row>
    <row r="85" spans="3:26" ht="15" hidden="1" outlineLevel="2">
      <c r="C85" s="1464"/>
      <c r="D85" s="1464"/>
      <c r="E85" s="1466"/>
      <c r="F85" s="1468"/>
      <c r="G85" s="343"/>
      <c r="H85" s="335" t="s">
        <v>28</v>
      </c>
      <c r="I85" s="341"/>
      <c r="J85" s="341"/>
      <c r="K85" s="341"/>
      <c r="L85" s="341"/>
      <c r="M85" s="342"/>
      <c r="N85" s="341"/>
      <c r="O85" s="338">
        <f t="shared" si="57"/>
        <v>0</v>
      </c>
      <c r="P85" s="341"/>
      <c r="Q85" s="431"/>
      <c r="R85" s="28"/>
      <c r="S85" s="14"/>
      <c r="T85" s="14"/>
      <c r="U85" s="14"/>
      <c r="V85" s="14"/>
      <c r="W85" s="14"/>
      <c r="X85" s="14"/>
      <c r="Y85" s="14"/>
      <c r="Z85" s="14"/>
    </row>
    <row r="86" spans="3:26" ht="15" hidden="1" outlineLevel="2">
      <c r="C86" s="1464"/>
      <c r="D86" s="1464"/>
      <c r="E86" s="1466"/>
      <c r="F86" s="1468"/>
      <c r="G86" s="343"/>
      <c r="H86" s="335" t="s">
        <v>28</v>
      </c>
      <c r="I86" s="341"/>
      <c r="J86" s="341"/>
      <c r="K86" s="341"/>
      <c r="L86" s="341"/>
      <c r="M86" s="342"/>
      <c r="N86" s="341"/>
      <c r="O86" s="338">
        <f t="shared" si="57"/>
        <v>0</v>
      </c>
      <c r="P86" s="341"/>
      <c r="Q86" s="431"/>
      <c r="R86" s="28"/>
      <c r="S86" s="30"/>
      <c r="T86" s="30"/>
      <c r="U86" s="30"/>
      <c r="V86" s="30"/>
      <c r="W86" s="30"/>
      <c r="X86" s="30"/>
      <c r="Y86" s="30"/>
      <c r="Z86" s="30"/>
    </row>
    <row r="87" spans="3:26" ht="15" hidden="1" outlineLevel="2">
      <c r="C87" s="1464"/>
      <c r="D87" s="1464"/>
      <c r="E87" s="1466"/>
      <c r="F87" s="1468"/>
      <c r="G87" s="343"/>
      <c r="H87" s="335" t="s">
        <v>28</v>
      </c>
      <c r="I87" s="341"/>
      <c r="J87" s="341"/>
      <c r="K87" s="341"/>
      <c r="L87" s="341"/>
      <c r="M87" s="342"/>
      <c r="N87" s="341"/>
      <c r="O87" s="338">
        <f t="shared" si="57"/>
        <v>0</v>
      </c>
      <c r="P87" s="341"/>
      <c r="Q87" s="431"/>
    </row>
    <row r="88" spans="3:26" ht="15" hidden="1" outlineLevel="2">
      <c r="C88" s="1464"/>
      <c r="D88" s="1464"/>
      <c r="E88" s="1466"/>
      <c r="F88" s="1468"/>
      <c r="G88" s="343"/>
      <c r="H88" s="335" t="s">
        <v>28</v>
      </c>
      <c r="I88" s="341"/>
      <c r="J88" s="341"/>
      <c r="K88" s="341"/>
      <c r="L88" s="341"/>
      <c r="M88" s="342"/>
      <c r="N88" s="341"/>
      <c r="O88" s="338">
        <f t="shared" si="57"/>
        <v>0</v>
      </c>
      <c r="P88" s="341"/>
      <c r="Q88" s="431"/>
    </row>
    <row r="89" spans="3:26" ht="15" hidden="1" outlineLevel="2">
      <c r="C89" s="1464"/>
      <c r="D89" s="1464"/>
      <c r="E89" s="1466"/>
      <c r="F89" s="1468"/>
      <c r="G89" s="343"/>
      <c r="H89" s="335" t="s">
        <v>28</v>
      </c>
      <c r="I89" s="341"/>
      <c r="J89" s="341"/>
      <c r="K89" s="341"/>
      <c r="L89" s="341"/>
      <c r="M89" s="342"/>
      <c r="N89" s="341"/>
      <c r="O89" s="338">
        <f t="shared" si="57"/>
        <v>0</v>
      </c>
      <c r="P89" s="341"/>
      <c r="Q89" s="431"/>
    </row>
    <row r="90" spans="3:26" ht="15" hidden="1" outlineLevel="2">
      <c r="C90" s="1464"/>
      <c r="D90" s="1464"/>
      <c r="E90" s="1466"/>
      <c r="F90" s="1468"/>
      <c r="G90" s="344"/>
      <c r="H90" s="335" t="s">
        <v>28</v>
      </c>
      <c r="I90" s="345"/>
      <c r="J90" s="345"/>
      <c r="K90" s="345"/>
      <c r="L90" s="345"/>
      <c r="M90" s="346"/>
      <c r="N90" s="345"/>
      <c r="O90" s="338">
        <f t="shared" si="57"/>
        <v>0</v>
      </c>
      <c r="P90" s="345"/>
      <c r="Q90" s="432"/>
    </row>
    <row r="91" spans="3:26" ht="15" hidden="1" outlineLevel="2">
      <c r="C91" s="1464"/>
      <c r="D91" s="1464"/>
      <c r="E91" s="1466"/>
      <c r="F91" s="1468"/>
      <c r="G91" s="343"/>
      <c r="H91" s="335" t="s">
        <v>28</v>
      </c>
      <c r="I91" s="341"/>
      <c r="J91" s="341"/>
      <c r="K91" s="341"/>
      <c r="L91" s="341"/>
      <c r="M91" s="342"/>
      <c r="N91" s="341"/>
      <c r="O91" s="338">
        <f t="shared" si="57"/>
        <v>0</v>
      </c>
      <c r="P91" s="341"/>
      <c r="Q91" s="431"/>
    </row>
    <row r="92" spans="3:26" ht="15" hidden="1" outlineLevel="2">
      <c r="C92" s="1464"/>
      <c r="D92" s="1464"/>
      <c r="E92" s="1466"/>
      <c r="F92" s="1468"/>
      <c r="G92" s="1470" t="s">
        <v>51</v>
      </c>
      <c r="H92" s="1471"/>
      <c r="I92" s="347">
        <f>SUM(I82:I91)</f>
        <v>0</v>
      </c>
      <c r="J92" s="347">
        <f t="shared" ref="J92:K92" si="65">SUM(J82:J91)</f>
        <v>0</v>
      </c>
      <c r="K92" s="347">
        <f t="shared" si="65"/>
        <v>0</v>
      </c>
      <c r="L92" s="347">
        <f t="shared" ref="L92" si="66">SUM(L82:L91)</f>
        <v>0</v>
      </c>
      <c r="M92" s="348"/>
      <c r="N92" s="347">
        <f>N82</f>
        <v>0</v>
      </c>
      <c r="O92" s="349">
        <f t="shared" si="57"/>
        <v>0</v>
      </c>
      <c r="P92" s="347">
        <f t="shared" ref="P92:Q92" si="67">SUM(P82:P91)</f>
        <v>0</v>
      </c>
      <c r="Q92" s="433">
        <f t="shared" si="67"/>
        <v>0</v>
      </c>
    </row>
    <row r="93" spans="3:26" ht="15" hidden="1" outlineLevel="2">
      <c r="C93" s="1464"/>
      <c r="D93" s="1464"/>
      <c r="E93" s="1466"/>
      <c r="F93" s="1468"/>
      <c r="G93" s="350"/>
      <c r="H93" s="335" t="s">
        <v>22</v>
      </c>
      <c r="I93" s="336"/>
      <c r="J93" s="336"/>
      <c r="K93" s="336"/>
      <c r="L93" s="336"/>
      <c r="M93" s="337"/>
      <c r="N93" s="336"/>
      <c r="O93" s="338">
        <f t="shared" si="57"/>
        <v>0</v>
      </c>
      <c r="P93" s="336"/>
      <c r="Q93" s="430"/>
    </row>
    <row r="94" spans="3:26" ht="15" hidden="1" outlineLevel="2">
      <c r="C94" s="1464"/>
      <c r="D94" s="1464"/>
      <c r="E94" s="1466"/>
      <c r="F94" s="1468"/>
      <c r="G94" s="343"/>
      <c r="H94" s="335" t="s">
        <v>22</v>
      </c>
      <c r="I94" s="341"/>
      <c r="J94" s="341"/>
      <c r="K94" s="341"/>
      <c r="L94" s="341"/>
      <c r="M94" s="342"/>
      <c r="N94" s="341"/>
      <c r="O94" s="338">
        <f t="shared" si="57"/>
        <v>0</v>
      </c>
      <c r="P94" s="341"/>
      <c r="Q94" s="431"/>
    </row>
    <row r="95" spans="3:26" ht="15" hidden="1" outlineLevel="2">
      <c r="C95" s="1464"/>
      <c r="D95" s="1464"/>
      <c r="E95" s="1466"/>
      <c r="F95" s="1468"/>
      <c r="G95" s="343"/>
      <c r="H95" s="335" t="s">
        <v>22</v>
      </c>
      <c r="I95" s="341"/>
      <c r="J95" s="341"/>
      <c r="K95" s="341"/>
      <c r="L95" s="341"/>
      <c r="M95" s="337"/>
      <c r="N95" s="341"/>
      <c r="O95" s="338">
        <f t="shared" si="57"/>
        <v>0</v>
      </c>
      <c r="P95" s="341"/>
      <c r="Q95" s="431"/>
    </row>
    <row r="96" spans="3:26" ht="15" hidden="1" outlineLevel="2">
      <c r="C96" s="1464"/>
      <c r="D96" s="1464"/>
      <c r="E96" s="1466"/>
      <c r="F96" s="1468"/>
      <c r="G96" s="343"/>
      <c r="H96" s="335" t="s">
        <v>22</v>
      </c>
      <c r="I96" s="341"/>
      <c r="J96" s="341"/>
      <c r="K96" s="341"/>
      <c r="L96" s="341"/>
      <c r="M96" s="342"/>
      <c r="N96" s="341"/>
      <c r="O96" s="338">
        <f t="shared" si="57"/>
        <v>0</v>
      </c>
      <c r="P96" s="341"/>
      <c r="Q96" s="431"/>
    </row>
    <row r="97" spans="3:17" ht="15" hidden="1" outlineLevel="2">
      <c r="C97" s="1464"/>
      <c r="D97" s="1464"/>
      <c r="E97" s="1466"/>
      <c r="F97" s="1468"/>
      <c r="G97" s="343"/>
      <c r="H97" s="335" t="s">
        <v>22</v>
      </c>
      <c r="I97" s="341"/>
      <c r="J97" s="341"/>
      <c r="K97" s="341"/>
      <c r="L97" s="341"/>
      <c r="M97" s="342"/>
      <c r="N97" s="341"/>
      <c r="O97" s="338">
        <f t="shared" si="57"/>
        <v>0</v>
      </c>
      <c r="P97" s="341"/>
      <c r="Q97" s="431"/>
    </row>
    <row r="98" spans="3:17" ht="15" hidden="1" outlineLevel="2">
      <c r="C98" s="1464"/>
      <c r="D98" s="1464"/>
      <c r="E98" s="1466"/>
      <c r="F98" s="1468"/>
      <c r="G98" s="343"/>
      <c r="H98" s="335" t="s">
        <v>22</v>
      </c>
      <c r="I98" s="341"/>
      <c r="J98" s="341"/>
      <c r="K98" s="341"/>
      <c r="L98" s="341"/>
      <c r="M98" s="342"/>
      <c r="N98" s="341"/>
      <c r="O98" s="338">
        <f t="shared" si="57"/>
        <v>0</v>
      </c>
      <c r="P98" s="341"/>
      <c r="Q98" s="431"/>
    </row>
    <row r="99" spans="3:17" ht="15" hidden="1" outlineLevel="2">
      <c r="C99" s="1464"/>
      <c r="D99" s="1464"/>
      <c r="E99" s="1466"/>
      <c r="F99" s="1468"/>
      <c r="G99" s="343"/>
      <c r="H99" s="335" t="s">
        <v>22</v>
      </c>
      <c r="I99" s="341"/>
      <c r="J99" s="341"/>
      <c r="K99" s="341"/>
      <c r="L99" s="341"/>
      <c r="M99" s="342"/>
      <c r="N99" s="341"/>
      <c r="O99" s="338">
        <f t="shared" ref="O99:O104" si="68">IF(N99=0,0,N99/J99)</f>
        <v>0</v>
      </c>
      <c r="P99" s="341"/>
      <c r="Q99" s="431"/>
    </row>
    <row r="100" spans="3:17" ht="15" hidden="1" outlineLevel="2">
      <c r="C100" s="1464"/>
      <c r="D100" s="1464"/>
      <c r="E100" s="1466"/>
      <c r="F100" s="1468"/>
      <c r="G100" s="343"/>
      <c r="H100" s="335" t="s">
        <v>22</v>
      </c>
      <c r="I100" s="341"/>
      <c r="J100" s="341"/>
      <c r="K100" s="341"/>
      <c r="L100" s="341"/>
      <c r="M100" s="342"/>
      <c r="N100" s="341"/>
      <c r="O100" s="338">
        <f t="shared" si="68"/>
        <v>0</v>
      </c>
      <c r="P100" s="341"/>
      <c r="Q100" s="431"/>
    </row>
    <row r="101" spans="3:17" ht="15" hidden="1" outlineLevel="2">
      <c r="C101" s="1464"/>
      <c r="D101" s="1464"/>
      <c r="E101" s="1466"/>
      <c r="F101" s="1468"/>
      <c r="G101" s="344"/>
      <c r="H101" s="335" t="s">
        <v>22</v>
      </c>
      <c r="I101" s="345"/>
      <c r="J101" s="345"/>
      <c r="K101" s="345"/>
      <c r="L101" s="345"/>
      <c r="M101" s="346"/>
      <c r="N101" s="345"/>
      <c r="O101" s="338">
        <f t="shared" si="68"/>
        <v>0</v>
      </c>
      <c r="P101" s="345"/>
      <c r="Q101" s="432"/>
    </row>
    <row r="102" spans="3:17" ht="15" hidden="1" outlineLevel="2">
      <c r="C102" s="1464"/>
      <c r="D102" s="1464"/>
      <c r="E102" s="1466"/>
      <c r="F102" s="1468"/>
      <c r="G102" s="343"/>
      <c r="H102" s="335" t="s">
        <v>22</v>
      </c>
      <c r="I102" s="341"/>
      <c r="J102" s="341"/>
      <c r="K102" s="341"/>
      <c r="L102" s="341"/>
      <c r="M102" s="342"/>
      <c r="N102" s="341"/>
      <c r="O102" s="338">
        <f t="shared" si="68"/>
        <v>0</v>
      </c>
      <c r="P102" s="341"/>
      <c r="Q102" s="431"/>
    </row>
    <row r="103" spans="3:17" ht="15" hidden="1" outlineLevel="2">
      <c r="C103" s="1464"/>
      <c r="D103" s="1464"/>
      <c r="E103" s="1466"/>
      <c r="F103" s="1468"/>
      <c r="G103" s="1470" t="s">
        <v>44</v>
      </c>
      <c r="H103" s="1471"/>
      <c r="I103" s="347">
        <f>SUM(I93:I102)</f>
        <v>0</v>
      </c>
      <c r="J103" s="347">
        <f t="shared" ref="J103:K103" si="69">SUM(J93:J102)</f>
        <v>0</v>
      </c>
      <c r="K103" s="347">
        <f t="shared" si="69"/>
        <v>0</v>
      </c>
      <c r="L103" s="347">
        <f t="shared" ref="L103" si="70">SUM(L93:L102)</f>
        <v>0</v>
      </c>
      <c r="M103" s="348"/>
      <c r="N103" s="347">
        <f>N93</f>
        <v>0</v>
      </c>
      <c r="O103" s="349">
        <f t="shared" si="68"/>
        <v>0</v>
      </c>
      <c r="P103" s="347">
        <f t="shared" ref="P103:Q103" si="71">SUM(P93:P102)</f>
        <v>0</v>
      </c>
      <c r="Q103" s="433">
        <f t="shared" si="71"/>
        <v>0</v>
      </c>
    </row>
    <row r="104" spans="3:17" ht="15" outlineLevel="1" collapsed="1">
      <c r="C104" s="1464"/>
      <c r="D104" s="1464"/>
      <c r="E104" s="1466"/>
      <c r="F104" s="1469"/>
      <c r="G104" s="1470" t="s">
        <v>177</v>
      </c>
      <c r="H104" s="1471"/>
      <c r="I104" s="347">
        <f>(I81/usdrate)+(I92*jodrate)+I103</f>
        <v>0</v>
      </c>
      <c r="J104" s="347">
        <f>(J81/usdrate)+(J92*jodrate)+J103</f>
        <v>0</v>
      </c>
      <c r="K104" s="347">
        <f>(K81/usdrate)+(K92*jodrate)+K103</f>
        <v>0</v>
      </c>
      <c r="L104" s="347">
        <f>(L81/usdrate)+(L92*jodrate)+L103</f>
        <v>0</v>
      </c>
      <c r="M104" s="348"/>
      <c r="N104" s="347">
        <f>(N81/usdrate)+(N92*jodrate)+N103</f>
        <v>0</v>
      </c>
      <c r="O104" s="349">
        <f t="shared" si="68"/>
        <v>0</v>
      </c>
      <c r="P104" s="347">
        <f>(P81/usdrate)+(P92*jodrate)+P103</f>
        <v>0</v>
      </c>
      <c r="Q104" s="433">
        <f>(Q81/usdrate)+(Q92*jodrate)+Q103</f>
        <v>0</v>
      </c>
    </row>
    <row r="105" spans="3:17" ht="15" hidden="1" outlineLevel="2">
      <c r="C105" s="1464"/>
      <c r="D105" s="1464"/>
      <c r="E105" s="1466"/>
      <c r="F105" s="1472" t="s">
        <v>172</v>
      </c>
      <c r="G105" s="350"/>
      <c r="H105" s="335" t="s">
        <v>28</v>
      </c>
      <c r="I105" s="336"/>
      <c r="J105" s="336"/>
      <c r="K105" s="336"/>
      <c r="L105" s="336"/>
      <c r="M105" s="337"/>
      <c r="N105" s="336"/>
      <c r="O105" s="338">
        <f t="shared" ref="O105:O127" si="72">IF(N105=0,0,N105/I105)</f>
        <v>0</v>
      </c>
      <c r="P105" s="336"/>
      <c r="Q105" s="430"/>
    </row>
    <row r="106" spans="3:17" ht="15" hidden="1" outlineLevel="2">
      <c r="C106" s="1464"/>
      <c r="D106" s="1464"/>
      <c r="E106" s="1466"/>
      <c r="F106" s="1468"/>
      <c r="G106" s="343"/>
      <c r="H106" s="335" t="s">
        <v>28</v>
      </c>
      <c r="I106" s="341"/>
      <c r="J106" s="341"/>
      <c r="K106" s="341"/>
      <c r="L106" s="341"/>
      <c r="M106" s="342"/>
      <c r="N106" s="341"/>
      <c r="O106" s="338">
        <f t="shared" si="72"/>
        <v>0</v>
      </c>
      <c r="P106" s="341"/>
      <c r="Q106" s="431"/>
    </row>
    <row r="107" spans="3:17" ht="15" hidden="1" outlineLevel="2">
      <c r="C107" s="1464"/>
      <c r="D107" s="1464"/>
      <c r="E107" s="1466"/>
      <c r="F107" s="1468"/>
      <c r="G107" s="343"/>
      <c r="H107" s="335" t="s">
        <v>28</v>
      </c>
      <c r="I107" s="341"/>
      <c r="J107" s="341"/>
      <c r="K107" s="341"/>
      <c r="L107" s="341"/>
      <c r="M107" s="337"/>
      <c r="N107" s="341"/>
      <c r="O107" s="338">
        <f t="shared" si="72"/>
        <v>0</v>
      </c>
      <c r="P107" s="341"/>
      <c r="Q107" s="431"/>
    </row>
    <row r="108" spans="3:17" ht="15" hidden="1" outlineLevel="2">
      <c r="C108" s="1464"/>
      <c r="D108" s="1464"/>
      <c r="E108" s="1466"/>
      <c r="F108" s="1468"/>
      <c r="G108" s="343"/>
      <c r="H108" s="335" t="s">
        <v>28</v>
      </c>
      <c r="I108" s="341"/>
      <c r="J108" s="341"/>
      <c r="K108" s="341"/>
      <c r="L108" s="341"/>
      <c r="M108" s="342"/>
      <c r="N108" s="341"/>
      <c r="O108" s="338">
        <f t="shared" si="72"/>
        <v>0</v>
      </c>
      <c r="P108" s="341"/>
      <c r="Q108" s="431"/>
    </row>
    <row r="109" spans="3:17" ht="15" hidden="1" outlineLevel="2">
      <c r="C109" s="1464"/>
      <c r="D109" s="1464"/>
      <c r="E109" s="1466"/>
      <c r="F109" s="1468"/>
      <c r="G109" s="343"/>
      <c r="H109" s="335" t="s">
        <v>28</v>
      </c>
      <c r="I109" s="341"/>
      <c r="J109" s="341"/>
      <c r="K109" s="341"/>
      <c r="L109" s="341"/>
      <c r="M109" s="342"/>
      <c r="N109" s="341"/>
      <c r="O109" s="338">
        <f t="shared" si="72"/>
        <v>0</v>
      </c>
      <c r="P109" s="341"/>
      <c r="Q109" s="431"/>
    </row>
    <row r="110" spans="3:17" ht="15" hidden="1" outlineLevel="2">
      <c r="C110" s="1464"/>
      <c r="D110" s="1464"/>
      <c r="E110" s="1466"/>
      <c r="F110" s="1468"/>
      <c r="G110" s="343"/>
      <c r="H110" s="335" t="s">
        <v>28</v>
      </c>
      <c r="I110" s="341"/>
      <c r="J110" s="341"/>
      <c r="K110" s="341"/>
      <c r="L110" s="341"/>
      <c r="M110" s="342"/>
      <c r="N110" s="341"/>
      <c r="O110" s="338">
        <f t="shared" si="72"/>
        <v>0</v>
      </c>
      <c r="P110" s="341"/>
      <c r="Q110" s="431"/>
    </row>
    <row r="111" spans="3:17" ht="15" hidden="1" outlineLevel="2">
      <c r="C111" s="1464"/>
      <c r="D111" s="1464"/>
      <c r="E111" s="1466"/>
      <c r="F111" s="1468"/>
      <c r="G111" s="343"/>
      <c r="H111" s="335" t="s">
        <v>28</v>
      </c>
      <c r="I111" s="341"/>
      <c r="J111" s="341"/>
      <c r="K111" s="341"/>
      <c r="L111" s="341"/>
      <c r="M111" s="342"/>
      <c r="N111" s="341"/>
      <c r="O111" s="338">
        <f t="shared" si="72"/>
        <v>0</v>
      </c>
      <c r="P111" s="341"/>
      <c r="Q111" s="431"/>
    </row>
    <row r="112" spans="3:17" ht="15" hidden="1" outlineLevel="2">
      <c r="C112" s="1464"/>
      <c r="D112" s="1464"/>
      <c r="E112" s="1466"/>
      <c r="F112" s="1468"/>
      <c r="G112" s="343"/>
      <c r="H112" s="335" t="s">
        <v>28</v>
      </c>
      <c r="I112" s="341"/>
      <c r="J112" s="341"/>
      <c r="K112" s="341"/>
      <c r="L112" s="341"/>
      <c r="M112" s="342"/>
      <c r="N112" s="341"/>
      <c r="O112" s="338">
        <f t="shared" si="72"/>
        <v>0</v>
      </c>
      <c r="P112" s="341"/>
      <c r="Q112" s="431"/>
    </row>
    <row r="113" spans="3:20" ht="15" hidden="1" outlineLevel="2">
      <c r="C113" s="1464"/>
      <c r="D113" s="1464"/>
      <c r="E113" s="1466"/>
      <c r="F113" s="1468"/>
      <c r="G113" s="344"/>
      <c r="H113" s="335" t="s">
        <v>28</v>
      </c>
      <c r="I113" s="345"/>
      <c r="J113" s="345"/>
      <c r="K113" s="345"/>
      <c r="L113" s="345"/>
      <c r="M113" s="346"/>
      <c r="N113" s="345"/>
      <c r="O113" s="338">
        <f t="shared" si="72"/>
        <v>0</v>
      </c>
      <c r="P113" s="345"/>
      <c r="Q113" s="432"/>
    </row>
    <row r="114" spans="3:20" ht="15" hidden="1" outlineLevel="2">
      <c r="C114" s="1464"/>
      <c r="D114" s="1464"/>
      <c r="E114" s="1466"/>
      <c r="F114" s="1468"/>
      <c r="G114" s="343"/>
      <c r="H114" s="335" t="s">
        <v>28</v>
      </c>
      <c r="I114" s="341"/>
      <c r="J114" s="341"/>
      <c r="K114" s="341"/>
      <c r="L114" s="341"/>
      <c r="M114" s="342"/>
      <c r="N114" s="341"/>
      <c r="O114" s="338">
        <f t="shared" si="72"/>
        <v>0</v>
      </c>
      <c r="P114" s="341"/>
      <c r="Q114" s="431"/>
    </row>
    <row r="115" spans="3:20" ht="15" hidden="1" outlineLevel="2">
      <c r="C115" s="1464"/>
      <c r="D115" s="1464"/>
      <c r="E115" s="1466"/>
      <c r="F115" s="1468"/>
      <c r="G115" s="1470" t="s">
        <v>51</v>
      </c>
      <c r="H115" s="1471"/>
      <c r="I115" s="347">
        <f>SUM(I105:I114)</f>
        <v>0</v>
      </c>
      <c r="J115" s="347">
        <f t="shared" ref="J115:K115" si="73">SUM(J105:J114)</f>
        <v>0</v>
      </c>
      <c r="K115" s="347">
        <f t="shared" si="73"/>
        <v>0</v>
      </c>
      <c r="L115" s="347">
        <f t="shared" ref="L115" si="74">SUM(L105:L114)</f>
        <v>0</v>
      </c>
      <c r="M115" s="348"/>
      <c r="N115" s="347">
        <f>N105</f>
        <v>0</v>
      </c>
      <c r="O115" s="349">
        <f t="shared" si="72"/>
        <v>0</v>
      </c>
      <c r="P115" s="347">
        <f t="shared" ref="P115:Q115" si="75">SUM(P105:P114)</f>
        <v>0</v>
      </c>
      <c r="Q115" s="433">
        <f t="shared" si="75"/>
        <v>0</v>
      </c>
    </row>
    <row r="116" spans="3:20" ht="15" hidden="1" outlineLevel="2">
      <c r="C116" s="1464"/>
      <c r="D116" s="1464"/>
      <c r="E116" s="1466"/>
      <c r="F116" s="1468"/>
      <c r="G116" s="350"/>
      <c r="H116" s="335" t="s">
        <v>22</v>
      </c>
      <c r="I116" s="336"/>
      <c r="J116" s="336"/>
      <c r="K116" s="336"/>
      <c r="L116" s="336"/>
      <c r="M116" s="337"/>
      <c r="N116" s="336"/>
      <c r="O116" s="338">
        <f t="shared" si="72"/>
        <v>0</v>
      </c>
      <c r="P116" s="336"/>
      <c r="Q116" s="430"/>
    </row>
    <row r="117" spans="3:20" ht="15" hidden="1" outlineLevel="2">
      <c r="C117" s="1464"/>
      <c r="D117" s="1464"/>
      <c r="E117" s="1466"/>
      <c r="F117" s="1468"/>
      <c r="G117" s="343"/>
      <c r="H117" s="335" t="s">
        <v>22</v>
      </c>
      <c r="I117" s="341"/>
      <c r="J117" s="341"/>
      <c r="K117" s="341"/>
      <c r="L117" s="341"/>
      <c r="M117" s="342"/>
      <c r="N117" s="341"/>
      <c r="O117" s="338">
        <f t="shared" si="72"/>
        <v>0</v>
      </c>
      <c r="P117" s="341"/>
      <c r="Q117" s="431"/>
    </row>
    <row r="118" spans="3:20" ht="15" hidden="1" outlineLevel="2">
      <c r="C118" s="1464"/>
      <c r="D118" s="1464"/>
      <c r="E118" s="1466"/>
      <c r="F118" s="1468"/>
      <c r="G118" s="343"/>
      <c r="H118" s="335" t="s">
        <v>22</v>
      </c>
      <c r="I118" s="341"/>
      <c r="J118" s="341"/>
      <c r="K118" s="341"/>
      <c r="L118" s="341"/>
      <c r="M118" s="337"/>
      <c r="N118" s="341"/>
      <c r="O118" s="338">
        <f t="shared" si="72"/>
        <v>0</v>
      </c>
      <c r="P118" s="341"/>
      <c r="Q118" s="431"/>
    </row>
    <row r="119" spans="3:20" ht="15" hidden="1" outlineLevel="2">
      <c r="C119" s="1464"/>
      <c r="D119" s="1464"/>
      <c r="E119" s="1466"/>
      <c r="F119" s="1468"/>
      <c r="G119" s="343"/>
      <c r="H119" s="335" t="s">
        <v>22</v>
      </c>
      <c r="I119" s="341"/>
      <c r="J119" s="341"/>
      <c r="K119" s="341"/>
      <c r="L119" s="341"/>
      <c r="M119" s="342"/>
      <c r="N119" s="341"/>
      <c r="O119" s="338">
        <f t="shared" si="72"/>
        <v>0</v>
      </c>
      <c r="P119" s="341"/>
      <c r="Q119" s="431"/>
    </row>
    <row r="120" spans="3:20" ht="15" hidden="1" outlineLevel="2">
      <c r="C120" s="1464"/>
      <c r="D120" s="1464"/>
      <c r="E120" s="1466"/>
      <c r="F120" s="1468"/>
      <c r="G120" s="343"/>
      <c r="H120" s="335" t="s">
        <v>22</v>
      </c>
      <c r="I120" s="341"/>
      <c r="J120" s="341"/>
      <c r="K120" s="341"/>
      <c r="L120" s="341"/>
      <c r="M120" s="342"/>
      <c r="N120" s="341"/>
      <c r="O120" s="338">
        <f t="shared" si="72"/>
        <v>0</v>
      </c>
      <c r="P120" s="341"/>
      <c r="Q120" s="431"/>
    </row>
    <row r="121" spans="3:20" ht="15" hidden="1" outlineLevel="2">
      <c r="C121" s="1464"/>
      <c r="D121" s="1464"/>
      <c r="E121" s="1466"/>
      <c r="F121" s="1468"/>
      <c r="G121" s="343"/>
      <c r="H121" s="335" t="s">
        <v>22</v>
      </c>
      <c r="I121" s="341"/>
      <c r="J121" s="341"/>
      <c r="K121" s="341"/>
      <c r="L121" s="341"/>
      <c r="M121" s="342"/>
      <c r="N121" s="341"/>
      <c r="O121" s="338">
        <f t="shared" si="72"/>
        <v>0</v>
      </c>
      <c r="P121" s="341"/>
      <c r="Q121" s="431"/>
    </row>
    <row r="122" spans="3:20" ht="15" hidden="1" outlineLevel="2">
      <c r="C122" s="1464"/>
      <c r="D122" s="1464"/>
      <c r="E122" s="1466"/>
      <c r="F122" s="1468"/>
      <c r="G122" s="343"/>
      <c r="H122" s="335" t="s">
        <v>22</v>
      </c>
      <c r="I122" s="341"/>
      <c r="J122" s="341"/>
      <c r="K122" s="341"/>
      <c r="L122" s="341"/>
      <c r="M122" s="342"/>
      <c r="N122" s="341"/>
      <c r="O122" s="338">
        <f t="shared" si="72"/>
        <v>0</v>
      </c>
      <c r="P122" s="341"/>
      <c r="Q122" s="431"/>
    </row>
    <row r="123" spans="3:20" ht="15" hidden="1" outlineLevel="2">
      <c r="C123" s="1464"/>
      <c r="D123" s="1464"/>
      <c r="E123" s="1466"/>
      <c r="F123" s="1468"/>
      <c r="G123" s="343"/>
      <c r="H123" s="335" t="s">
        <v>22</v>
      </c>
      <c r="I123" s="341"/>
      <c r="J123" s="341"/>
      <c r="K123" s="341"/>
      <c r="L123" s="341"/>
      <c r="M123" s="342"/>
      <c r="N123" s="341"/>
      <c r="O123" s="338">
        <f t="shared" si="72"/>
        <v>0</v>
      </c>
      <c r="P123" s="341"/>
      <c r="Q123" s="431"/>
    </row>
    <row r="124" spans="3:20" ht="15" hidden="1" outlineLevel="2">
      <c r="C124" s="1464"/>
      <c r="D124" s="1464"/>
      <c r="E124" s="1466"/>
      <c r="F124" s="1468"/>
      <c r="G124" s="344"/>
      <c r="H124" s="335" t="s">
        <v>22</v>
      </c>
      <c r="I124" s="345"/>
      <c r="J124" s="345"/>
      <c r="K124" s="345"/>
      <c r="L124" s="345"/>
      <c r="M124" s="346"/>
      <c r="N124" s="345"/>
      <c r="O124" s="338">
        <f t="shared" si="72"/>
        <v>0</v>
      </c>
      <c r="P124" s="345"/>
      <c r="Q124" s="432"/>
    </row>
    <row r="125" spans="3:20" ht="15" hidden="1" outlineLevel="2">
      <c r="C125" s="1464"/>
      <c r="D125" s="1464"/>
      <c r="E125" s="1466"/>
      <c r="F125" s="1468"/>
      <c r="G125" s="343"/>
      <c r="H125" s="335" t="s">
        <v>22</v>
      </c>
      <c r="I125" s="341"/>
      <c r="J125" s="341"/>
      <c r="K125" s="341"/>
      <c r="L125" s="341"/>
      <c r="M125" s="342"/>
      <c r="N125" s="341"/>
      <c r="O125" s="338">
        <f t="shared" si="72"/>
        <v>0</v>
      </c>
      <c r="P125" s="341"/>
      <c r="Q125" s="431"/>
    </row>
    <row r="126" spans="3:20" ht="15" hidden="1" outlineLevel="2">
      <c r="C126" s="1464"/>
      <c r="D126" s="1464"/>
      <c r="E126" s="1466"/>
      <c r="F126" s="1468"/>
      <c r="G126" s="1470" t="s">
        <v>44</v>
      </c>
      <c r="H126" s="1471"/>
      <c r="I126" s="347">
        <f>SUM(I116:I125)</f>
        <v>0</v>
      </c>
      <c r="J126" s="347">
        <f t="shared" ref="J126:K126" si="76">SUM(J116:J125)</f>
        <v>0</v>
      </c>
      <c r="K126" s="347">
        <f t="shared" si="76"/>
        <v>0</v>
      </c>
      <c r="L126" s="347">
        <f t="shared" ref="L126" si="77">SUM(L116:L125)</f>
        <v>0</v>
      </c>
      <c r="M126" s="348"/>
      <c r="N126" s="347">
        <f>N116</f>
        <v>0</v>
      </c>
      <c r="O126" s="349">
        <f t="shared" si="72"/>
        <v>0</v>
      </c>
      <c r="P126" s="347">
        <f t="shared" ref="P126:Q126" si="78">SUM(P116:P125)</f>
        <v>0</v>
      </c>
      <c r="Q126" s="433">
        <f t="shared" si="78"/>
        <v>0</v>
      </c>
    </row>
    <row r="127" spans="3:20" ht="15" outlineLevel="1" collapsed="1">
      <c r="C127" s="1464"/>
      <c r="D127" s="1464"/>
      <c r="E127" s="1466"/>
      <c r="F127" s="1469"/>
      <c r="G127" s="1470" t="s">
        <v>177</v>
      </c>
      <c r="H127" s="1471"/>
      <c r="I127" s="347">
        <f>(I115*jodrate)+I126</f>
        <v>0</v>
      </c>
      <c r="J127" s="347">
        <f>(J115*jodrate)+J126</f>
        <v>0</v>
      </c>
      <c r="K127" s="347">
        <f>(K115*jodrate)+K126</f>
        <v>0</v>
      </c>
      <c r="L127" s="347">
        <f>(L115*jodrate)+L126</f>
        <v>0</v>
      </c>
      <c r="M127" s="348"/>
      <c r="N127" s="347">
        <f>(N115*jodrate)+N126</f>
        <v>0</v>
      </c>
      <c r="O127" s="349">
        <f t="shared" si="72"/>
        <v>0</v>
      </c>
      <c r="P127" s="347">
        <f>(P115*jodrate)+P126</f>
        <v>0</v>
      </c>
      <c r="Q127" s="433">
        <f>(Q115*jodrate)+Q126</f>
        <v>0</v>
      </c>
    </row>
    <row r="128" spans="3:20" ht="15">
      <c r="C128" s="1464"/>
      <c r="D128" s="1464"/>
      <c r="E128" s="1467"/>
      <c r="F128" s="1473" t="s">
        <v>175</v>
      </c>
      <c r="G128" s="1474"/>
      <c r="H128" s="1474"/>
      <c r="I128" s="355">
        <f>I36+I70+I104+I127</f>
        <v>0</v>
      </c>
      <c r="J128" s="355">
        <f t="shared" ref="J128:K128" si="79">J36+J70+J104+J127</f>
        <v>0</v>
      </c>
      <c r="K128" s="355">
        <f t="shared" si="79"/>
        <v>0</v>
      </c>
      <c r="L128" s="355">
        <f t="shared" ref="L128" si="80">L36+L70+L104+L127</f>
        <v>0</v>
      </c>
      <c r="M128" s="355"/>
      <c r="N128" s="355">
        <f t="shared" ref="N128" si="81">N36+N70+N104+N127</f>
        <v>0</v>
      </c>
      <c r="O128" s="356">
        <f t="shared" ref="O128:O191" si="82">IF(N128=0,0,N128/J128)</f>
        <v>0</v>
      </c>
      <c r="P128" s="355">
        <f t="shared" ref="P128:Q128" si="83">P36+P70+P104+P127</f>
        <v>0</v>
      </c>
      <c r="Q128" s="434">
        <f t="shared" si="83"/>
        <v>0</v>
      </c>
      <c r="T128" s="418">
        <f>IF(H3="USD",I3*R3,IF(H3="ILS",(I3*R3/usdrate),IF(H3="JOD",(I3*R3*jodrate),"")))</f>
        <v>0</v>
      </c>
    </row>
    <row r="129" spans="3:20" ht="15" hidden="1" outlineLevel="2">
      <c r="C129" s="1464"/>
      <c r="D129" s="1464"/>
      <c r="E129" s="1458" t="s">
        <v>168</v>
      </c>
      <c r="F129" s="1461" t="s">
        <v>173</v>
      </c>
      <c r="G129" s="350"/>
      <c r="H129" s="335" t="s">
        <v>4</v>
      </c>
      <c r="I129" s="336"/>
      <c r="J129" s="336">
        <f>I129</f>
        <v>0</v>
      </c>
      <c r="K129" s="336">
        <v>0</v>
      </c>
      <c r="L129" s="336">
        <v>0</v>
      </c>
      <c r="M129" s="337"/>
      <c r="N129" s="336"/>
      <c r="O129" s="338">
        <f t="shared" si="82"/>
        <v>0</v>
      </c>
      <c r="P129" s="336">
        <f t="shared" ref="P129:Q132" si="84">O129</f>
        <v>0</v>
      </c>
      <c r="Q129" s="430">
        <f t="shared" si="84"/>
        <v>0</v>
      </c>
      <c r="T129" s="418"/>
    </row>
    <row r="130" spans="3:20" ht="15" hidden="1" outlineLevel="2">
      <c r="C130" s="1464"/>
      <c r="D130" s="1464"/>
      <c r="E130" s="1459"/>
      <c r="F130" s="1462"/>
      <c r="G130" s="343"/>
      <c r="H130" s="340" t="s">
        <v>4</v>
      </c>
      <c r="I130" s="341"/>
      <c r="J130" s="336">
        <f>I130</f>
        <v>0</v>
      </c>
      <c r="K130" s="341">
        <v>0</v>
      </c>
      <c r="L130" s="341">
        <v>0</v>
      </c>
      <c r="M130" s="342"/>
      <c r="N130" s="341"/>
      <c r="O130" s="338">
        <f t="shared" si="82"/>
        <v>0</v>
      </c>
      <c r="P130" s="336">
        <f t="shared" si="84"/>
        <v>0</v>
      </c>
      <c r="Q130" s="430">
        <f t="shared" si="84"/>
        <v>0</v>
      </c>
      <c r="T130" s="418"/>
    </row>
    <row r="131" spans="3:20" ht="15" hidden="1" outlineLevel="2">
      <c r="C131" s="1464"/>
      <c r="D131" s="1464"/>
      <c r="E131" s="1459"/>
      <c r="F131" s="1462"/>
      <c r="G131" s="343"/>
      <c r="H131" s="340" t="s">
        <v>4</v>
      </c>
      <c r="I131" s="341"/>
      <c r="J131" s="336">
        <f>I131</f>
        <v>0</v>
      </c>
      <c r="K131" s="341">
        <v>0</v>
      </c>
      <c r="L131" s="341">
        <v>0</v>
      </c>
      <c r="M131" s="342"/>
      <c r="N131" s="341"/>
      <c r="O131" s="338">
        <f t="shared" si="82"/>
        <v>0</v>
      </c>
      <c r="P131" s="336">
        <f t="shared" si="84"/>
        <v>0</v>
      </c>
      <c r="Q131" s="430">
        <f t="shared" si="84"/>
        <v>0</v>
      </c>
      <c r="T131" s="418"/>
    </row>
    <row r="132" spans="3:20" ht="15" hidden="1" outlineLevel="2">
      <c r="C132" s="1464"/>
      <c r="D132" s="1464"/>
      <c r="E132" s="1459"/>
      <c r="F132" s="1462"/>
      <c r="G132" s="343"/>
      <c r="H132" s="340" t="s">
        <v>4</v>
      </c>
      <c r="I132" s="341"/>
      <c r="J132" s="336">
        <f>I132</f>
        <v>0</v>
      </c>
      <c r="K132" s="341">
        <v>0</v>
      </c>
      <c r="L132" s="341">
        <v>0</v>
      </c>
      <c r="M132" s="342"/>
      <c r="N132" s="341"/>
      <c r="O132" s="357">
        <f t="shared" si="82"/>
        <v>0</v>
      </c>
      <c r="P132" s="336">
        <f t="shared" si="84"/>
        <v>0</v>
      </c>
      <c r="Q132" s="430">
        <f t="shared" si="84"/>
        <v>0</v>
      </c>
      <c r="T132" s="418"/>
    </row>
    <row r="133" spans="3:20" ht="15" hidden="1" outlineLevel="2">
      <c r="C133" s="1464"/>
      <c r="D133" s="1464"/>
      <c r="E133" s="1459"/>
      <c r="F133" s="1462"/>
      <c r="G133" s="343"/>
      <c r="H133" s="340" t="s">
        <v>4</v>
      </c>
      <c r="I133" s="341"/>
      <c r="J133" s="336">
        <f t="shared" ref="J133:J156" si="85">I133</f>
        <v>0</v>
      </c>
      <c r="K133" s="341">
        <v>0</v>
      </c>
      <c r="L133" s="341">
        <v>0</v>
      </c>
      <c r="M133" s="342"/>
      <c r="N133" s="341"/>
      <c r="O133" s="358">
        <f t="shared" si="82"/>
        <v>0</v>
      </c>
      <c r="P133" s="336">
        <f t="shared" ref="P133:Q156" si="86">O133</f>
        <v>0</v>
      </c>
      <c r="Q133" s="430">
        <f t="shared" si="86"/>
        <v>0</v>
      </c>
      <c r="T133" s="418"/>
    </row>
    <row r="134" spans="3:20" ht="15" hidden="1" outlineLevel="2">
      <c r="C134" s="1464"/>
      <c r="D134" s="1464"/>
      <c r="E134" s="1459"/>
      <c r="F134" s="1462"/>
      <c r="G134" s="343"/>
      <c r="H134" s="340" t="s">
        <v>4</v>
      </c>
      <c r="I134" s="341"/>
      <c r="J134" s="336">
        <f t="shared" si="85"/>
        <v>0</v>
      </c>
      <c r="K134" s="341">
        <v>0</v>
      </c>
      <c r="L134" s="341">
        <v>0</v>
      </c>
      <c r="M134" s="342"/>
      <c r="N134" s="341"/>
      <c r="O134" s="338">
        <f t="shared" si="82"/>
        <v>0</v>
      </c>
      <c r="P134" s="336">
        <f t="shared" si="86"/>
        <v>0</v>
      </c>
      <c r="Q134" s="430">
        <f t="shared" si="86"/>
        <v>0</v>
      </c>
      <c r="T134" s="418"/>
    </row>
    <row r="135" spans="3:20" ht="15" hidden="1" outlineLevel="2">
      <c r="C135" s="1464"/>
      <c r="D135" s="1464"/>
      <c r="E135" s="1459"/>
      <c r="F135" s="1462"/>
      <c r="G135" s="343"/>
      <c r="H135" s="340" t="s">
        <v>4</v>
      </c>
      <c r="I135" s="341"/>
      <c r="J135" s="336">
        <f t="shared" si="85"/>
        <v>0</v>
      </c>
      <c r="K135" s="341">
        <v>0</v>
      </c>
      <c r="L135" s="341">
        <v>0</v>
      </c>
      <c r="M135" s="342"/>
      <c r="N135" s="341"/>
      <c r="O135" s="338">
        <f t="shared" si="82"/>
        <v>0</v>
      </c>
      <c r="P135" s="336">
        <f t="shared" si="86"/>
        <v>0</v>
      </c>
      <c r="Q135" s="430">
        <f t="shared" si="86"/>
        <v>0</v>
      </c>
      <c r="T135" s="418"/>
    </row>
    <row r="136" spans="3:20" ht="15" hidden="1" outlineLevel="2">
      <c r="C136" s="1464"/>
      <c r="D136" s="1464"/>
      <c r="E136" s="1459"/>
      <c r="F136" s="1462"/>
      <c r="G136" s="343"/>
      <c r="H136" s="340" t="s">
        <v>4</v>
      </c>
      <c r="I136" s="341"/>
      <c r="J136" s="336">
        <f t="shared" si="85"/>
        <v>0</v>
      </c>
      <c r="K136" s="341">
        <v>0</v>
      </c>
      <c r="L136" s="341">
        <v>0</v>
      </c>
      <c r="M136" s="342"/>
      <c r="N136" s="341"/>
      <c r="O136" s="338">
        <f t="shared" si="82"/>
        <v>0</v>
      </c>
      <c r="P136" s="336">
        <f t="shared" si="86"/>
        <v>0</v>
      </c>
      <c r="Q136" s="430">
        <f t="shared" si="86"/>
        <v>0</v>
      </c>
      <c r="T136" s="418"/>
    </row>
    <row r="137" spans="3:20" ht="15" hidden="1" outlineLevel="2">
      <c r="C137" s="1464"/>
      <c r="D137" s="1464"/>
      <c r="E137" s="1459"/>
      <c r="F137" s="1462"/>
      <c r="G137" s="343"/>
      <c r="H137" s="340" t="s">
        <v>4</v>
      </c>
      <c r="I137" s="341"/>
      <c r="J137" s="336">
        <f t="shared" si="85"/>
        <v>0</v>
      </c>
      <c r="K137" s="341">
        <v>0</v>
      </c>
      <c r="L137" s="341">
        <v>0</v>
      </c>
      <c r="M137" s="342"/>
      <c r="N137" s="341"/>
      <c r="O137" s="338">
        <f t="shared" si="82"/>
        <v>0</v>
      </c>
      <c r="P137" s="336">
        <f t="shared" si="86"/>
        <v>0</v>
      </c>
      <c r="Q137" s="430">
        <f t="shared" si="86"/>
        <v>0</v>
      </c>
      <c r="T137" s="418"/>
    </row>
    <row r="138" spans="3:20" ht="15" hidden="1" outlineLevel="2">
      <c r="C138" s="1464"/>
      <c r="D138" s="1464"/>
      <c r="E138" s="1459"/>
      <c r="F138" s="1462"/>
      <c r="G138" s="343"/>
      <c r="H138" s="340" t="s">
        <v>4</v>
      </c>
      <c r="I138" s="341"/>
      <c r="J138" s="336">
        <f t="shared" si="85"/>
        <v>0</v>
      </c>
      <c r="K138" s="341">
        <v>0</v>
      </c>
      <c r="L138" s="341">
        <v>0</v>
      </c>
      <c r="M138" s="342"/>
      <c r="N138" s="341"/>
      <c r="O138" s="338">
        <f t="shared" si="82"/>
        <v>0</v>
      </c>
      <c r="P138" s="336">
        <f t="shared" si="86"/>
        <v>0</v>
      </c>
      <c r="Q138" s="430">
        <f t="shared" si="86"/>
        <v>0</v>
      </c>
      <c r="T138" s="418"/>
    </row>
    <row r="139" spans="3:20" ht="15" hidden="1" outlineLevel="2">
      <c r="C139" s="1464"/>
      <c r="D139" s="1464"/>
      <c r="E139" s="1459"/>
      <c r="F139" s="1462"/>
      <c r="G139" s="343"/>
      <c r="H139" s="340" t="s">
        <v>4</v>
      </c>
      <c r="I139" s="341"/>
      <c r="J139" s="336">
        <f t="shared" si="85"/>
        <v>0</v>
      </c>
      <c r="K139" s="341">
        <v>0</v>
      </c>
      <c r="L139" s="341">
        <v>0</v>
      </c>
      <c r="M139" s="342"/>
      <c r="N139" s="341"/>
      <c r="O139" s="338">
        <f t="shared" si="82"/>
        <v>0</v>
      </c>
      <c r="P139" s="336">
        <f t="shared" si="86"/>
        <v>0</v>
      </c>
      <c r="Q139" s="430">
        <f t="shared" si="86"/>
        <v>0</v>
      </c>
      <c r="T139" s="418"/>
    </row>
    <row r="140" spans="3:20" ht="15" hidden="1" outlineLevel="2">
      <c r="C140" s="1464"/>
      <c r="D140" s="1464"/>
      <c r="E140" s="1459"/>
      <c r="F140" s="1462"/>
      <c r="G140" s="343"/>
      <c r="H140" s="340" t="s">
        <v>4</v>
      </c>
      <c r="I140" s="341"/>
      <c r="J140" s="336">
        <f t="shared" si="85"/>
        <v>0</v>
      </c>
      <c r="K140" s="341">
        <v>0</v>
      </c>
      <c r="L140" s="341">
        <v>0</v>
      </c>
      <c r="M140" s="342"/>
      <c r="N140" s="341"/>
      <c r="O140" s="338">
        <f t="shared" si="82"/>
        <v>0</v>
      </c>
      <c r="P140" s="336">
        <f t="shared" si="86"/>
        <v>0</v>
      </c>
      <c r="Q140" s="430">
        <f t="shared" si="86"/>
        <v>0</v>
      </c>
      <c r="T140" s="418"/>
    </row>
    <row r="141" spans="3:20" ht="15" hidden="1" outlineLevel="2">
      <c r="C141" s="1464"/>
      <c r="D141" s="1464"/>
      <c r="E141" s="1459"/>
      <c r="F141" s="1462"/>
      <c r="G141" s="343"/>
      <c r="H141" s="340" t="s">
        <v>4</v>
      </c>
      <c r="I141" s="341"/>
      <c r="J141" s="336">
        <f t="shared" si="85"/>
        <v>0</v>
      </c>
      <c r="K141" s="341">
        <v>0</v>
      </c>
      <c r="L141" s="341">
        <v>0</v>
      </c>
      <c r="M141" s="342"/>
      <c r="N141" s="341"/>
      <c r="O141" s="338">
        <f t="shared" si="82"/>
        <v>0</v>
      </c>
      <c r="P141" s="336">
        <f t="shared" si="86"/>
        <v>0</v>
      </c>
      <c r="Q141" s="430">
        <f t="shared" si="86"/>
        <v>0</v>
      </c>
      <c r="T141" s="418"/>
    </row>
    <row r="142" spans="3:20" ht="15" hidden="1" outlineLevel="2">
      <c r="C142" s="1464"/>
      <c r="D142" s="1464"/>
      <c r="E142" s="1459"/>
      <c r="F142" s="1462"/>
      <c r="G142" s="343"/>
      <c r="H142" s="340" t="s">
        <v>4</v>
      </c>
      <c r="I142" s="341"/>
      <c r="J142" s="336">
        <f t="shared" si="85"/>
        <v>0</v>
      </c>
      <c r="K142" s="341">
        <v>0</v>
      </c>
      <c r="L142" s="341">
        <v>0</v>
      </c>
      <c r="M142" s="342"/>
      <c r="N142" s="341"/>
      <c r="O142" s="338">
        <f t="shared" si="82"/>
        <v>0</v>
      </c>
      <c r="P142" s="336">
        <f t="shared" si="86"/>
        <v>0</v>
      </c>
      <c r="Q142" s="430">
        <f t="shared" si="86"/>
        <v>0</v>
      </c>
      <c r="T142" s="418"/>
    </row>
    <row r="143" spans="3:20" ht="15" hidden="1" outlineLevel="2">
      <c r="C143" s="1464"/>
      <c r="D143" s="1464"/>
      <c r="E143" s="1459"/>
      <c r="F143" s="1462"/>
      <c r="G143" s="343"/>
      <c r="H143" s="340" t="s">
        <v>4</v>
      </c>
      <c r="I143" s="341"/>
      <c r="J143" s="336">
        <f t="shared" si="85"/>
        <v>0</v>
      </c>
      <c r="K143" s="341">
        <v>0</v>
      </c>
      <c r="L143" s="341">
        <v>0</v>
      </c>
      <c r="M143" s="342"/>
      <c r="N143" s="341"/>
      <c r="O143" s="338">
        <f t="shared" si="82"/>
        <v>0</v>
      </c>
      <c r="P143" s="336">
        <f t="shared" si="86"/>
        <v>0</v>
      </c>
      <c r="Q143" s="430">
        <f t="shared" si="86"/>
        <v>0</v>
      </c>
      <c r="T143" s="418"/>
    </row>
    <row r="144" spans="3:20" ht="15" hidden="1" outlineLevel="2">
      <c r="C144" s="1464"/>
      <c r="D144" s="1464"/>
      <c r="E144" s="1459"/>
      <c r="F144" s="1462"/>
      <c r="G144" s="343"/>
      <c r="H144" s="340" t="s">
        <v>4</v>
      </c>
      <c r="I144" s="341"/>
      <c r="J144" s="336">
        <f t="shared" si="85"/>
        <v>0</v>
      </c>
      <c r="K144" s="341">
        <v>0</v>
      </c>
      <c r="L144" s="341">
        <v>0</v>
      </c>
      <c r="M144" s="342"/>
      <c r="N144" s="341"/>
      <c r="O144" s="338">
        <f t="shared" si="82"/>
        <v>0</v>
      </c>
      <c r="P144" s="336">
        <f t="shared" si="86"/>
        <v>0</v>
      </c>
      <c r="Q144" s="430">
        <f t="shared" si="86"/>
        <v>0</v>
      </c>
      <c r="T144" s="418"/>
    </row>
    <row r="145" spans="3:20" ht="15" hidden="1" outlineLevel="2">
      <c r="C145" s="1464"/>
      <c r="D145" s="1464"/>
      <c r="E145" s="1459"/>
      <c r="F145" s="1462"/>
      <c r="G145" s="343"/>
      <c r="H145" s="340" t="s">
        <v>4</v>
      </c>
      <c r="I145" s="341"/>
      <c r="J145" s="336">
        <f t="shared" si="85"/>
        <v>0</v>
      </c>
      <c r="K145" s="341">
        <v>0</v>
      </c>
      <c r="L145" s="341">
        <v>0</v>
      </c>
      <c r="M145" s="342"/>
      <c r="N145" s="341"/>
      <c r="O145" s="338">
        <f t="shared" si="82"/>
        <v>0</v>
      </c>
      <c r="P145" s="336">
        <f t="shared" si="86"/>
        <v>0</v>
      </c>
      <c r="Q145" s="430">
        <f t="shared" si="86"/>
        <v>0</v>
      </c>
      <c r="T145" s="418"/>
    </row>
    <row r="146" spans="3:20" ht="15" hidden="1" outlineLevel="2">
      <c r="C146" s="1464"/>
      <c r="D146" s="1464"/>
      <c r="E146" s="1459"/>
      <c r="F146" s="1462"/>
      <c r="G146" s="343"/>
      <c r="H146" s="340" t="s">
        <v>4</v>
      </c>
      <c r="I146" s="341"/>
      <c r="J146" s="336">
        <f t="shared" si="85"/>
        <v>0</v>
      </c>
      <c r="K146" s="341">
        <v>0</v>
      </c>
      <c r="L146" s="341">
        <v>0</v>
      </c>
      <c r="M146" s="342"/>
      <c r="N146" s="341"/>
      <c r="O146" s="338">
        <f t="shared" si="82"/>
        <v>0</v>
      </c>
      <c r="P146" s="336">
        <f t="shared" si="86"/>
        <v>0</v>
      </c>
      <c r="Q146" s="430">
        <f t="shared" si="86"/>
        <v>0</v>
      </c>
      <c r="T146" s="418"/>
    </row>
    <row r="147" spans="3:20" ht="15" hidden="1" outlineLevel="2">
      <c r="C147" s="1464"/>
      <c r="D147" s="1464"/>
      <c r="E147" s="1459"/>
      <c r="F147" s="1462"/>
      <c r="G147" s="343"/>
      <c r="H147" s="340" t="s">
        <v>4</v>
      </c>
      <c r="I147" s="341"/>
      <c r="J147" s="336">
        <f t="shared" si="85"/>
        <v>0</v>
      </c>
      <c r="K147" s="341">
        <v>0</v>
      </c>
      <c r="L147" s="341">
        <v>0</v>
      </c>
      <c r="M147" s="342"/>
      <c r="N147" s="341"/>
      <c r="O147" s="338">
        <f t="shared" si="82"/>
        <v>0</v>
      </c>
      <c r="P147" s="336">
        <f t="shared" si="86"/>
        <v>0</v>
      </c>
      <c r="Q147" s="430">
        <f t="shared" si="86"/>
        <v>0</v>
      </c>
      <c r="T147" s="418"/>
    </row>
    <row r="148" spans="3:20" ht="15" hidden="1" outlineLevel="2">
      <c r="C148" s="1464"/>
      <c r="D148" s="1464"/>
      <c r="E148" s="1459"/>
      <c r="F148" s="1462"/>
      <c r="G148" s="343"/>
      <c r="H148" s="340" t="s">
        <v>4</v>
      </c>
      <c r="I148" s="341"/>
      <c r="J148" s="336">
        <f t="shared" si="85"/>
        <v>0</v>
      </c>
      <c r="K148" s="341">
        <v>0</v>
      </c>
      <c r="L148" s="341">
        <v>0</v>
      </c>
      <c r="M148" s="342"/>
      <c r="N148" s="341"/>
      <c r="O148" s="338">
        <f t="shared" si="82"/>
        <v>0</v>
      </c>
      <c r="P148" s="336">
        <f t="shared" si="86"/>
        <v>0</v>
      </c>
      <c r="Q148" s="430">
        <f t="shared" si="86"/>
        <v>0</v>
      </c>
      <c r="T148" s="418"/>
    </row>
    <row r="149" spans="3:20" ht="15" hidden="1" outlineLevel="2">
      <c r="C149" s="1464"/>
      <c r="D149" s="1464"/>
      <c r="E149" s="1459"/>
      <c r="F149" s="1462"/>
      <c r="G149" s="343"/>
      <c r="H149" s="340" t="s">
        <v>4</v>
      </c>
      <c r="I149" s="341"/>
      <c r="J149" s="336">
        <f t="shared" si="85"/>
        <v>0</v>
      </c>
      <c r="K149" s="341">
        <v>0</v>
      </c>
      <c r="L149" s="341">
        <v>0</v>
      </c>
      <c r="M149" s="342"/>
      <c r="N149" s="341"/>
      <c r="O149" s="338">
        <f t="shared" si="82"/>
        <v>0</v>
      </c>
      <c r="P149" s="336">
        <f t="shared" si="86"/>
        <v>0</v>
      </c>
      <c r="Q149" s="430">
        <f t="shared" si="86"/>
        <v>0</v>
      </c>
      <c r="T149" s="418"/>
    </row>
    <row r="150" spans="3:20" ht="15" hidden="1" outlineLevel="2">
      <c r="C150" s="1464"/>
      <c r="D150" s="1464"/>
      <c r="E150" s="1459"/>
      <c r="F150" s="1462"/>
      <c r="G150" s="343"/>
      <c r="H150" s="340" t="s">
        <v>4</v>
      </c>
      <c r="I150" s="341"/>
      <c r="J150" s="336">
        <f t="shared" si="85"/>
        <v>0</v>
      </c>
      <c r="K150" s="341">
        <v>0</v>
      </c>
      <c r="L150" s="341">
        <v>0</v>
      </c>
      <c r="M150" s="342"/>
      <c r="N150" s="341"/>
      <c r="O150" s="338">
        <f t="shared" si="82"/>
        <v>0</v>
      </c>
      <c r="P150" s="336">
        <f t="shared" si="86"/>
        <v>0</v>
      </c>
      <c r="Q150" s="430">
        <f t="shared" si="86"/>
        <v>0</v>
      </c>
      <c r="T150" s="418"/>
    </row>
    <row r="151" spans="3:20" ht="15" hidden="1" outlineLevel="2">
      <c r="C151" s="1464"/>
      <c r="D151" s="1464"/>
      <c r="E151" s="1459"/>
      <c r="F151" s="1462"/>
      <c r="G151" s="343"/>
      <c r="H151" s="340" t="s">
        <v>4</v>
      </c>
      <c r="I151" s="341"/>
      <c r="J151" s="336">
        <f t="shared" si="85"/>
        <v>0</v>
      </c>
      <c r="K151" s="341">
        <v>0</v>
      </c>
      <c r="L151" s="341">
        <v>0</v>
      </c>
      <c r="M151" s="342"/>
      <c r="N151" s="341"/>
      <c r="O151" s="338">
        <f t="shared" si="82"/>
        <v>0</v>
      </c>
      <c r="P151" s="336">
        <f t="shared" si="86"/>
        <v>0</v>
      </c>
      <c r="Q151" s="430">
        <f t="shared" si="86"/>
        <v>0</v>
      </c>
      <c r="T151" s="418"/>
    </row>
    <row r="152" spans="3:20" ht="15" hidden="1" outlineLevel="2">
      <c r="C152" s="1464"/>
      <c r="D152" s="1464"/>
      <c r="E152" s="1459"/>
      <c r="F152" s="1462"/>
      <c r="G152" s="343"/>
      <c r="H152" s="340" t="s">
        <v>4</v>
      </c>
      <c r="I152" s="341"/>
      <c r="J152" s="336">
        <f t="shared" si="85"/>
        <v>0</v>
      </c>
      <c r="K152" s="341">
        <v>0</v>
      </c>
      <c r="L152" s="341">
        <v>0</v>
      </c>
      <c r="M152" s="342"/>
      <c r="N152" s="341"/>
      <c r="O152" s="338">
        <f t="shared" si="82"/>
        <v>0</v>
      </c>
      <c r="P152" s="336">
        <f t="shared" si="86"/>
        <v>0</v>
      </c>
      <c r="Q152" s="430">
        <f t="shared" si="86"/>
        <v>0</v>
      </c>
      <c r="T152" s="418"/>
    </row>
    <row r="153" spans="3:20" ht="15" hidden="1" outlineLevel="2">
      <c r="C153" s="1464"/>
      <c r="D153" s="1464"/>
      <c r="E153" s="1459"/>
      <c r="F153" s="1462"/>
      <c r="G153" s="343"/>
      <c r="H153" s="340" t="s">
        <v>4</v>
      </c>
      <c r="I153" s="341"/>
      <c r="J153" s="336">
        <f t="shared" si="85"/>
        <v>0</v>
      </c>
      <c r="K153" s="341">
        <v>0</v>
      </c>
      <c r="L153" s="341">
        <v>0</v>
      </c>
      <c r="M153" s="342"/>
      <c r="N153" s="341"/>
      <c r="O153" s="338">
        <f t="shared" si="82"/>
        <v>0</v>
      </c>
      <c r="P153" s="336">
        <f t="shared" si="86"/>
        <v>0</v>
      </c>
      <c r="Q153" s="430">
        <f t="shared" si="86"/>
        <v>0</v>
      </c>
      <c r="T153" s="418"/>
    </row>
    <row r="154" spans="3:20" ht="15" hidden="1" outlineLevel="2">
      <c r="C154" s="1464"/>
      <c r="D154" s="1464"/>
      <c r="E154" s="1459"/>
      <c r="F154" s="1462"/>
      <c r="G154" s="343"/>
      <c r="H154" s="340" t="s">
        <v>4</v>
      </c>
      <c r="I154" s="341"/>
      <c r="J154" s="336">
        <f t="shared" si="85"/>
        <v>0</v>
      </c>
      <c r="K154" s="341">
        <v>0</v>
      </c>
      <c r="L154" s="341">
        <v>0</v>
      </c>
      <c r="M154" s="342"/>
      <c r="N154" s="341"/>
      <c r="O154" s="338">
        <f t="shared" si="82"/>
        <v>0</v>
      </c>
      <c r="P154" s="336">
        <f t="shared" si="86"/>
        <v>0</v>
      </c>
      <c r="Q154" s="430">
        <f t="shared" si="86"/>
        <v>0</v>
      </c>
      <c r="T154" s="418"/>
    </row>
    <row r="155" spans="3:20" ht="15" hidden="1" outlineLevel="2">
      <c r="C155" s="1464"/>
      <c r="D155" s="1464"/>
      <c r="E155" s="1459"/>
      <c r="F155" s="1462"/>
      <c r="G155" s="343"/>
      <c r="H155" s="340" t="s">
        <v>4</v>
      </c>
      <c r="I155" s="341"/>
      <c r="J155" s="336">
        <f t="shared" si="85"/>
        <v>0</v>
      </c>
      <c r="K155" s="341">
        <v>0</v>
      </c>
      <c r="L155" s="341">
        <v>0</v>
      </c>
      <c r="M155" s="342"/>
      <c r="N155" s="341"/>
      <c r="O155" s="338">
        <f t="shared" si="82"/>
        <v>0</v>
      </c>
      <c r="P155" s="336">
        <f t="shared" si="86"/>
        <v>0</v>
      </c>
      <c r="Q155" s="430">
        <f t="shared" si="86"/>
        <v>0</v>
      </c>
      <c r="T155" s="418"/>
    </row>
    <row r="156" spans="3:20" ht="15" hidden="1" outlineLevel="2">
      <c r="C156" s="1464"/>
      <c r="D156" s="1464"/>
      <c r="E156" s="1459"/>
      <c r="F156" s="1462"/>
      <c r="G156" s="343"/>
      <c r="H156" s="340" t="s">
        <v>4</v>
      </c>
      <c r="I156" s="341"/>
      <c r="J156" s="336">
        <f t="shared" si="85"/>
        <v>0</v>
      </c>
      <c r="K156" s="341">
        <v>0</v>
      </c>
      <c r="L156" s="341">
        <v>0</v>
      </c>
      <c r="M156" s="342"/>
      <c r="N156" s="341"/>
      <c r="O156" s="338">
        <f t="shared" si="82"/>
        <v>0</v>
      </c>
      <c r="P156" s="336">
        <f t="shared" si="86"/>
        <v>0</v>
      </c>
      <c r="Q156" s="430">
        <f t="shared" si="86"/>
        <v>0</v>
      </c>
      <c r="T156" s="418"/>
    </row>
    <row r="157" spans="3:20" ht="15" hidden="1" outlineLevel="2">
      <c r="C157" s="1464"/>
      <c r="D157" s="1464"/>
      <c r="E157" s="1459"/>
      <c r="F157" s="1462"/>
      <c r="G157" s="1454" t="s">
        <v>45</v>
      </c>
      <c r="H157" s="1455"/>
      <c r="I157" s="359">
        <f>SUM(I129:I156)</f>
        <v>0</v>
      </c>
      <c r="J157" s="359">
        <f>SUM(J129:J156)</f>
        <v>0</v>
      </c>
      <c r="K157" s="359">
        <f>SUM(K129:K156)</f>
        <v>0</v>
      </c>
      <c r="L157" s="359">
        <f>SUM(L129:L156)</f>
        <v>0</v>
      </c>
      <c r="M157" s="360" t="s">
        <v>43</v>
      </c>
      <c r="N157" s="359">
        <f>SUM(N129:N156)</f>
        <v>0</v>
      </c>
      <c r="O157" s="361">
        <f t="shared" si="82"/>
        <v>0</v>
      </c>
      <c r="P157" s="359">
        <f>SUM(P129:P156)</f>
        <v>0</v>
      </c>
      <c r="Q157" s="435">
        <f>SUM(Q129:Q156)</f>
        <v>0</v>
      </c>
      <c r="T157" s="418"/>
    </row>
    <row r="158" spans="3:20" ht="15" hidden="1" outlineLevel="2">
      <c r="C158" s="1464"/>
      <c r="D158" s="1464"/>
      <c r="E158" s="1459"/>
      <c r="F158" s="1462"/>
      <c r="G158" s="353"/>
      <c r="H158" s="340" t="s">
        <v>29</v>
      </c>
      <c r="I158" s="341"/>
      <c r="J158" s="336"/>
      <c r="K158" s="336"/>
      <c r="L158" s="336"/>
      <c r="M158" s="363"/>
      <c r="N158" s="336"/>
      <c r="O158" s="338">
        <f t="shared" si="82"/>
        <v>0</v>
      </c>
      <c r="P158" s="336"/>
      <c r="Q158" s="430"/>
      <c r="T158" s="418"/>
    </row>
    <row r="159" spans="3:20" ht="15" hidden="1" outlineLevel="2">
      <c r="C159" s="1464"/>
      <c r="D159" s="1464"/>
      <c r="E159" s="1459"/>
      <c r="F159" s="1462"/>
      <c r="G159" s="353"/>
      <c r="H159" s="340" t="s">
        <v>29</v>
      </c>
      <c r="I159" s="341"/>
      <c r="J159" s="336"/>
      <c r="K159" s="336"/>
      <c r="L159" s="336"/>
      <c r="M159" s="363"/>
      <c r="N159" s="336"/>
      <c r="O159" s="338">
        <f t="shared" si="82"/>
        <v>0</v>
      </c>
      <c r="P159" s="336"/>
      <c r="Q159" s="430"/>
      <c r="T159" s="418"/>
    </row>
    <row r="160" spans="3:20" ht="15" hidden="1" outlineLevel="2">
      <c r="C160" s="1464"/>
      <c r="D160" s="1464"/>
      <c r="E160" s="1459"/>
      <c r="F160" s="1462"/>
      <c r="G160" s="353"/>
      <c r="H160" s="340" t="s">
        <v>29</v>
      </c>
      <c r="I160" s="341"/>
      <c r="J160" s="336"/>
      <c r="K160" s="336"/>
      <c r="L160" s="336"/>
      <c r="M160" s="363"/>
      <c r="N160" s="336"/>
      <c r="O160" s="338">
        <f t="shared" si="82"/>
        <v>0</v>
      </c>
      <c r="P160" s="336"/>
      <c r="Q160" s="430"/>
      <c r="T160" s="418"/>
    </row>
    <row r="161" spans="3:20" ht="15" hidden="1" outlineLevel="2">
      <c r="C161" s="1464"/>
      <c r="D161" s="1464"/>
      <c r="E161" s="1459"/>
      <c r="F161" s="1462"/>
      <c r="G161" s="353"/>
      <c r="H161" s="340" t="s">
        <v>29</v>
      </c>
      <c r="I161" s="341"/>
      <c r="J161" s="336"/>
      <c r="K161" s="336"/>
      <c r="L161" s="336"/>
      <c r="M161" s="363"/>
      <c r="N161" s="336"/>
      <c r="O161" s="338">
        <f t="shared" si="82"/>
        <v>0</v>
      </c>
      <c r="P161" s="336"/>
      <c r="Q161" s="430"/>
      <c r="T161" s="418"/>
    </row>
    <row r="162" spans="3:20" ht="15" hidden="1" outlineLevel="2">
      <c r="C162" s="1464"/>
      <c r="D162" s="1464"/>
      <c r="E162" s="1459"/>
      <c r="F162" s="1462"/>
      <c r="G162" s="353"/>
      <c r="H162" s="340" t="s">
        <v>29</v>
      </c>
      <c r="I162" s="341"/>
      <c r="J162" s="336"/>
      <c r="K162" s="336"/>
      <c r="L162" s="336"/>
      <c r="M162" s="363"/>
      <c r="N162" s="336"/>
      <c r="O162" s="338">
        <f t="shared" si="82"/>
        <v>0</v>
      </c>
      <c r="P162" s="336"/>
      <c r="Q162" s="430"/>
      <c r="T162" s="418"/>
    </row>
    <row r="163" spans="3:20" ht="15" hidden="1" outlineLevel="2">
      <c r="C163" s="1464"/>
      <c r="D163" s="1464"/>
      <c r="E163" s="1459"/>
      <c r="F163" s="1462"/>
      <c r="G163" s="353"/>
      <c r="H163" s="340" t="s">
        <v>29</v>
      </c>
      <c r="I163" s="341"/>
      <c r="J163" s="336"/>
      <c r="K163" s="336"/>
      <c r="L163" s="336"/>
      <c r="M163" s="363"/>
      <c r="N163" s="336"/>
      <c r="O163" s="338">
        <f t="shared" si="82"/>
        <v>0</v>
      </c>
      <c r="P163" s="336"/>
      <c r="Q163" s="430"/>
      <c r="T163" s="418"/>
    </row>
    <row r="164" spans="3:20" ht="15" hidden="1" outlineLevel="2">
      <c r="C164" s="1464"/>
      <c r="D164" s="1464"/>
      <c r="E164" s="1459"/>
      <c r="F164" s="1462"/>
      <c r="G164" s="353"/>
      <c r="H164" s="340" t="s">
        <v>29</v>
      </c>
      <c r="I164" s="341"/>
      <c r="J164" s="336"/>
      <c r="K164" s="336"/>
      <c r="L164" s="336"/>
      <c r="M164" s="363"/>
      <c r="N164" s="336"/>
      <c r="O164" s="338">
        <f t="shared" si="82"/>
        <v>0</v>
      </c>
      <c r="P164" s="336"/>
      <c r="Q164" s="430"/>
      <c r="T164" s="418"/>
    </row>
    <row r="165" spans="3:20" ht="15" hidden="1" outlineLevel="2">
      <c r="C165" s="1464"/>
      <c r="D165" s="1464"/>
      <c r="E165" s="1459"/>
      <c r="F165" s="1462"/>
      <c r="G165" s="353"/>
      <c r="H165" s="340" t="s">
        <v>29</v>
      </c>
      <c r="I165" s="341"/>
      <c r="J165" s="336"/>
      <c r="K165" s="336"/>
      <c r="L165" s="336"/>
      <c r="M165" s="363"/>
      <c r="N165" s="336"/>
      <c r="O165" s="338">
        <f t="shared" si="82"/>
        <v>0</v>
      </c>
      <c r="P165" s="336"/>
      <c r="Q165" s="430"/>
      <c r="T165" s="418"/>
    </row>
    <row r="166" spans="3:20" ht="15" hidden="1" outlineLevel="2">
      <c r="C166" s="1464"/>
      <c r="D166" s="1464"/>
      <c r="E166" s="1459"/>
      <c r="F166" s="1462"/>
      <c r="G166" s="353"/>
      <c r="H166" s="340" t="s">
        <v>29</v>
      </c>
      <c r="I166" s="341"/>
      <c r="J166" s="336"/>
      <c r="K166" s="336"/>
      <c r="L166" s="336"/>
      <c r="M166" s="363"/>
      <c r="N166" s="336"/>
      <c r="O166" s="338">
        <f t="shared" si="82"/>
        <v>0</v>
      </c>
      <c r="P166" s="336"/>
      <c r="Q166" s="430"/>
      <c r="T166" s="418"/>
    </row>
    <row r="167" spans="3:20" ht="15" hidden="1" outlineLevel="2">
      <c r="C167" s="1464"/>
      <c r="D167" s="1464"/>
      <c r="E167" s="1459"/>
      <c r="F167" s="1462"/>
      <c r="G167" s="353"/>
      <c r="H167" s="340" t="s">
        <v>29</v>
      </c>
      <c r="I167" s="341"/>
      <c r="J167" s="336"/>
      <c r="K167" s="336"/>
      <c r="L167" s="336"/>
      <c r="M167" s="363"/>
      <c r="N167" s="336"/>
      <c r="O167" s="338">
        <f t="shared" si="82"/>
        <v>0</v>
      </c>
      <c r="P167" s="336"/>
      <c r="Q167" s="430"/>
      <c r="T167" s="418"/>
    </row>
    <row r="168" spans="3:20" ht="15" hidden="1" outlineLevel="2">
      <c r="C168" s="1464"/>
      <c r="D168" s="1464"/>
      <c r="E168" s="1459"/>
      <c r="F168" s="1462"/>
      <c r="G168" s="353"/>
      <c r="H168" s="340" t="s">
        <v>29</v>
      </c>
      <c r="I168" s="341"/>
      <c r="J168" s="336"/>
      <c r="K168" s="336"/>
      <c r="L168" s="336"/>
      <c r="M168" s="363"/>
      <c r="N168" s="336"/>
      <c r="O168" s="338">
        <f t="shared" si="82"/>
        <v>0</v>
      </c>
      <c r="P168" s="336"/>
      <c r="Q168" s="430"/>
      <c r="T168" s="418"/>
    </row>
    <row r="169" spans="3:20" ht="15" hidden="1" outlineLevel="2">
      <c r="C169" s="1464"/>
      <c r="D169" s="1464"/>
      <c r="E169" s="1459"/>
      <c r="F169" s="1462"/>
      <c r="G169" s="353"/>
      <c r="H169" s="340" t="s">
        <v>29</v>
      </c>
      <c r="I169" s="341"/>
      <c r="J169" s="336"/>
      <c r="K169" s="336"/>
      <c r="L169" s="336"/>
      <c r="M169" s="363"/>
      <c r="N169" s="336"/>
      <c r="O169" s="338">
        <f t="shared" si="82"/>
        <v>0</v>
      </c>
      <c r="P169" s="336"/>
      <c r="Q169" s="430"/>
      <c r="T169" s="418"/>
    </row>
    <row r="170" spans="3:20" ht="15" hidden="1" outlineLevel="2">
      <c r="C170" s="1464"/>
      <c r="D170" s="1464"/>
      <c r="E170" s="1459"/>
      <c r="F170" s="1462"/>
      <c r="G170" s="1454" t="s">
        <v>50</v>
      </c>
      <c r="H170" s="1455"/>
      <c r="I170" s="359">
        <f>SUM(I158:I169)</f>
        <v>0</v>
      </c>
      <c r="J170" s="359">
        <f t="shared" ref="J170:K170" si="87">SUM(J158:J169)</f>
        <v>0</v>
      </c>
      <c r="K170" s="359">
        <f t="shared" si="87"/>
        <v>0</v>
      </c>
      <c r="L170" s="359">
        <f t="shared" ref="L170" si="88">SUM(L158:L169)</f>
        <v>0</v>
      </c>
      <c r="M170" s="360" t="s">
        <v>43</v>
      </c>
      <c r="N170" s="359">
        <f>SUM(N158:N169)</f>
        <v>0</v>
      </c>
      <c r="O170" s="361">
        <f t="shared" si="82"/>
        <v>0</v>
      </c>
      <c r="P170" s="359">
        <f t="shared" ref="P170:Q170" si="89">SUM(P158:P169)</f>
        <v>0</v>
      </c>
      <c r="Q170" s="435">
        <f t="shared" si="89"/>
        <v>0</v>
      </c>
      <c r="T170" s="418"/>
    </row>
    <row r="171" spans="3:20" ht="15" hidden="1" outlineLevel="2">
      <c r="C171" s="1464"/>
      <c r="D171" s="1464"/>
      <c r="E171" s="1459"/>
      <c r="F171" s="1462"/>
      <c r="G171" s="353"/>
      <c r="H171" s="340" t="s">
        <v>22</v>
      </c>
      <c r="I171" s="341"/>
      <c r="J171" s="341">
        <v>0</v>
      </c>
      <c r="K171" s="341"/>
      <c r="L171" s="341"/>
      <c r="M171" s="410"/>
      <c r="N171" s="341"/>
      <c r="O171" s="357">
        <f t="shared" si="82"/>
        <v>0</v>
      </c>
      <c r="P171" s="341">
        <v>0</v>
      </c>
      <c r="Q171" s="431">
        <v>0</v>
      </c>
      <c r="T171" s="418"/>
    </row>
    <row r="172" spans="3:20" ht="15" hidden="1" outlineLevel="2">
      <c r="C172" s="1464"/>
      <c r="D172" s="1464"/>
      <c r="E172" s="1459"/>
      <c r="F172" s="1462"/>
      <c r="G172" s="353"/>
      <c r="H172" s="340" t="s">
        <v>22</v>
      </c>
      <c r="I172" s="341"/>
      <c r="J172" s="341">
        <v>0</v>
      </c>
      <c r="K172" s="341"/>
      <c r="L172" s="341"/>
      <c r="M172" s="410"/>
      <c r="N172" s="341"/>
      <c r="O172" s="357">
        <f t="shared" si="82"/>
        <v>0</v>
      </c>
      <c r="P172" s="341">
        <v>0</v>
      </c>
      <c r="Q172" s="431">
        <v>0</v>
      </c>
      <c r="T172" s="418"/>
    </row>
    <row r="173" spans="3:20" ht="15" hidden="1" outlineLevel="2">
      <c r="C173" s="1464"/>
      <c r="D173" s="1464"/>
      <c r="E173" s="1459"/>
      <c r="F173" s="1462"/>
      <c r="G173" s="353"/>
      <c r="H173" s="340" t="s">
        <v>22</v>
      </c>
      <c r="I173" s="341"/>
      <c r="J173" s="341">
        <v>0</v>
      </c>
      <c r="K173" s="341"/>
      <c r="L173" s="341"/>
      <c r="M173" s="410"/>
      <c r="N173" s="341"/>
      <c r="O173" s="357">
        <f t="shared" si="82"/>
        <v>0</v>
      </c>
      <c r="P173" s="341">
        <v>0</v>
      </c>
      <c r="Q173" s="431">
        <v>0</v>
      </c>
      <c r="T173" s="418"/>
    </row>
    <row r="174" spans="3:20" ht="15" hidden="1" outlineLevel="2">
      <c r="C174" s="1464"/>
      <c r="D174" s="1464"/>
      <c r="E174" s="1459"/>
      <c r="F174" s="1462"/>
      <c r="G174" s="353"/>
      <c r="H174" s="340" t="s">
        <v>22</v>
      </c>
      <c r="I174" s="341"/>
      <c r="J174" s="341">
        <v>0</v>
      </c>
      <c r="K174" s="341"/>
      <c r="L174" s="341"/>
      <c r="M174" s="410"/>
      <c r="N174" s="341"/>
      <c r="O174" s="357">
        <f t="shared" si="82"/>
        <v>0</v>
      </c>
      <c r="P174" s="341">
        <v>0</v>
      </c>
      <c r="Q174" s="431">
        <v>0</v>
      </c>
      <c r="T174" s="418"/>
    </row>
    <row r="175" spans="3:20" ht="15" hidden="1" outlineLevel="2">
      <c r="C175" s="1464"/>
      <c r="D175" s="1464"/>
      <c r="E175" s="1459"/>
      <c r="F175" s="1462"/>
      <c r="G175" s="353"/>
      <c r="H175" s="340" t="s">
        <v>22</v>
      </c>
      <c r="I175" s="341"/>
      <c r="J175" s="341">
        <v>0</v>
      </c>
      <c r="K175" s="341"/>
      <c r="L175" s="341"/>
      <c r="M175" s="410"/>
      <c r="N175" s="341"/>
      <c r="O175" s="357">
        <f t="shared" si="82"/>
        <v>0</v>
      </c>
      <c r="P175" s="341">
        <v>0</v>
      </c>
      <c r="Q175" s="431">
        <v>0</v>
      </c>
      <c r="T175" s="418"/>
    </row>
    <row r="176" spans="3:20" ht="15" hidden="1" outlineLevel="2">
      <c r="C176" s="1464"/>
      <c r="D176" s="1464"/>
      <c r="E176" s="1459"/>
      <c r="F176" s="1462"/>
      <c r="G176" s="353"/>
      <c r="H176" s="340" t="s">
        <v>22</v>
      </c>
      <c r="I176" s="341"/>
      <c r="J176" s="341">
        <v>0</v>
      </c>
      <c r="K176" s="341"/>
      <c r="L176" s="341"/>
      <c r="M176" s="410"/>
      <c r="N176" s="341"/>
      <c r="O176" s="357">
        <f t="shared" si="82"/>
        <v>0</v>
      </c>
      <c r="P176" s="341">
        <v>0</v>
      </c>
      <c r="Q176" s="431">
        <v>0</v>
      </c>
      <c r="T176" s="418"/>
    </row>
    <row r="177" spans="3:20" ht="15" hidden="1" outlineLevel="2">
      <c r="C177" s="1464"/>
      <c r="D177" s="1464"/>
      <c r="E177" s="1459"/>
      <c r="F177" s="1462"/>
      <c r="G177" s="353"/>
      <c r="H177" s="340" t="s">
        <v>22</v>
      </c>
      <c r="I177" s="341"/>
      <c r="J177" s="341">
        <v>0</v>
      </c>
      <c r="K177" s="341"/>
      <c r="L177" s="341"/>
      <c r="M177" s="410"/>
      <c r="N177" s="341"/>
      <c r="O177" s="357">
        <f t="shared" si="82"/>
        <v>0</v>
      </c>
      <c r="P177" s="341">
        <v>0</v>
      </c>
      <c r="Q177" s="431">
        <v>0</v>
      </c>
      <c r="T177" s="418"/>
    </row>
    <row r="178" spans="3:20" ht="15" hidden="1" outlineLevel="2">
      <c r="C178" s="1464"/>
      <c r="D178" s="1464"/>
      <c r="E178" s="1459"/>
      <c r="F178" s="1462"/>
      <c r="G178" s="353"/>
      <c r="H178" s="340" t="s">
        <v>22</v>
      </c>
      <c r="I178" s="341"/>
      <c r="J178" s="341">
        <v>0</v>
      </c>
      <c r="K178" s="341"/>
      <c r="L178" s="341"/>
      <c r="M178" s="410"/>
      <c r="N178" s="341"/>
      <c r="O178" s="357">
        <f t="shared" si="82"/>
        <v>0</v>
      </c>
      <c r="P178" s="341">
        <v>0</v>
      </c>
      <c r="Q178" s="431">
        <v>0</v>
      </c>
      <c r="T178" s="418"/>
    </row>
    <row r="179" spans="3:20" ht="15" hidden="1" outlineLevel="2">
      <c r="C179" s="1464"/>
      <c r="D179" s="1464"/>
      <c r="E179" s="1459"/>
      <c r="F179" s="1462"/>
      <c r="G179" s="353"/>
      <c r="H179" s="340" t="s">
        <v>22</v>
      </c>
      <c r="I179" s="341"/>
      <c r="J179" s="341">
        <v>0</v>
      </c>
      <c r="K179" s="341"/>
      <c r="L179" s="341"/>
      <c r="M179" s="410"/>
      <c r="N179" s="341"/>
      <c r="O179" s="357">
        <f t="shared" si="82"/>
        <v>0</v>
      </c>
      <c r="P179" s="341">
        <v>0</v>
      </c>
      <c r="Q179" s="431">
        <v>0</v>
      </c>
      <c r="T179" s="418"/>
    </row>
    <row r="180" spans="3:20" ht="15" hidden="1" outlineLevel="2">
      <c r="C180" s="1464"/>
      <c r="D180" s="1464"/>
      <c r="E180" s="1459"/>
      <c r="F180" s="1462"/>
      <c r="G180" s="353"/>
      <c r="H180" s="340" t="s">
        <v>22</v>
      </c>
      <c r="I180" s="341"/>
      <c r="J180" s="341">
        <v>0</v>
      </c>
      <c r="K180" s="341"/>
      <c r="L180" s="341"/>
      <c r="M180" s="410"/>
      <c r="N180" s="341"/>
      <c r="O180" s="357">
        <f t="shared" si="82"/>
        <v>0</v>
      </c>
      <c r="P180" s="341">
        <v>0</v>
      </c>
      <c r="Q180" s="431">
        <v>0</v>
      </c>
      <c r="T180" s="418"/>
    </row>
    <row r="181" spans="3:20" ht="15" hidden="1" outlineLevel="2">
      <c r="C181" s="1464"/>
      <c r="D181" s="1464"/>
      <c r="E181" s="1459"/>
      <c r="F181" s="1462"/>
      <c r="G181" s="353"/>
      <c r="H181" s="340" t="s">
        <v>22</v>
      </c>
      <c r="I181" s="341"/>
      <c r="J181" s="341">
        <v>0</v>
      </c>
      <c r="K181" s="341"/>
      <c r="L181" s="341"/>
      <c r="M181" s="410"/>
      <c r="N181" s="341"/>
      <c r="O181" s="357">
        <f t="shared" si="82"/>
        <v>0</v>
      </c>
      <c r="P181" s="341">
        <v>0</v>
      </c>
      <c r="Q181" s="431">
        <v>0</v>
      </c>
      <c r="T181" s="418"/>
    </row>
    <row r="182" spans="3:20" ht="15" hidden="1" outlineLevel="2">
      <c r="C182" s="1464"/>
      <c r="D182" s="1464"/>
      <c r="E182" s="1459"/>
      <c r="F182" s="1462"/>
      <c r="G182" s="353"/>
      <c r="H182" s="340" t="s">
        <v>22</v>
      </c>
      <c r="I182" s="341"/>
      <c r="J182" s="341">
        <v>0</v>
      </c>
      <c r="K182" s="341"/>
      <c r="L182" s="341"/>
      <c r="M182" s="410"/>
      <c r="N182" s="341"/>
      <c r="O182" s="357">
        <f t="shared" si="82"/>
        <v>0</v>
      </c>
      <c r="P182" s="341">
        <v>0</v>
      </c>
      <c r="Q182" s="431">
        <v>0</v>
      </c>
      <c r="T182" s="418"/>
    </row>
    <row r="183" spans="3:20" ht="15" hidden="1" outlineLevel="2">
      <c r="C183" s="1464"/>
      <c r="D183" s="1464"/>
      <c r="E183" s="1459"/>
      <c r="F183" s="1462"/>
      <c r="G183" s="353"/>
      <c r="H183" s="340" t="s">
        <v>22</v>
      </c>
      <c r="I183" s="341"/>
      <c r="J183" s="341">
        <v>0</v>
      </c>
      <c r="K183" s="341"/>
      <c r="L183" s="341"/>
      <c r="M183" s="410"/>
      <c r="N183" s="341"/>
      <c r="O183" s="357">
        <f t="shared" si="82"/>
        <v>0</v>
      </c>
      <c r="P183" s="341">
        <v>0</v>
      </c>
      <c r="Q183" s="431">
        <v>0</v>
      </c>
      <c r="T183" s="418"/>
    </row>
    <row r="184" spans="3:20" ht="15" hidden="1" outlineLevel="2">
      <c r="C184" s="1464"/>
      <c r="D184" s="1464"/>
      <c r="E184" s="1459"/>
      <c r="F184" s="1462"/>
      <c r="G184" s="353"/>
      <c r="H184" s="340" t="s">
        <v>22</v>
      </c>
      <c r="I184" s="341"/>
      <c r="J184" s="341">
        <v>0</v>
      </c>
      <c r="K184" s="341"/>
      <c r="L184" s="341"/>
      <c r="M184" s="410"/>
      <c r="N184" s="341"/>
      <c r="O184" s="357">
        <f t="shared" si="82"/>
        <v>0</v>
      </c>
      <c r="P184" s="341">
        <v>0</v>
      </c>
      <c r="Q184" s="431">
        <v>0</v>
      </c>
      <c r="T184" s="418"/>
    </row>
    <row r="185" spans="3:20" ht="15" hidden="1" outlineLevel="2">
      <c r="C185" s="1464"/>
      <c r="D185" s="1464"/>
      <c r="E185" s="1459"/>
      <c r="F185" s="1462"/>
      <c r="G185" s="353"/>
      <c r="H185" s="340" t="s">
        <v>22</v>
      </c>
      <c r="I185" s="341"/>
      <c r="J185" s="341">
        <v>0</v>
      </c>
      <c r="K185" s="341"/>
      <c r="L185" s="341"/>
      <c r="M185" s="410"/>
      <c r="N185" s="341"/>
      <c r="O185" s="357">
        <f t="shared" si="82"/>
        <v>0</v>
      </c>
      <c r="P185" s="341">
        <v>0</v>
      </c>
      <c r="Q185" s="431">
        <v>0</v>
      </c>
      <c r="T185" s="418"/>
    </row>
    <row r="186" spans="3:20" ht="15" hidden="1" outlineLevel="2">
      <c r="C186" s="1464"/>
      <c r="D186" s="1464"/>
      <c r="E186" s="1459"/>
      <c r="F186" s="1462"/>
      <c r="G186" s="353"/>
      <c r="H186" s="340" t="s">
        <v>22</v>
      </c>
      <c r="I186" s="341"/>
      <c r="J186" s="341">
        <v>0</v>
      </c>
      <c r="K186" s="341"/>
      <c r="L186" s="341"/>
      <c r="M186" s="410"/>
      <c r="N186" s="341"/>
      <c r="O186" s="357">
        <f t="shared" si="82"/>
        <v>0</v>
      </c>
      <c r="P186" s="341">
        <v>0</v>
      </c>
      <c r="Q186" s="431">
        <v>0</v>
      </c>
      <c r="T186" s="418"/>
    </row>
    <row r="187" spans="3:20" ht="15" hidden="1" outlineLevel="2">
      <c r="C187" s="1464"/>
      <c r="D187" s="1464"/>
      <c r="E187" s="1459"/>
      <c r="F187" s="1462"/>
      <c r="G187" s="353"/>
      <c r="H187" s="340" t="s">
        <v>22</v>
      </c>
      <c r="I187" s="341"/>
      <c r="J187" s="341">
        <v>0</v>
      </c>
      <c r="K187" s="341"/>
      <c r="L187" s="341"/>
      <c r="M187" s="410"/>
      <c r="N187" s="341"/>
      <c r="O187" s="357">
        <f t="shared" si="82"/>
        <v>0</v>
      </c>
      <c r="P187" s="341">
        <v>0</v>
      </c>
      <c r="Q187" s="431">
        <v>0</v>
      </c>
      <c r="T187" s="418"/>
    </row>
    <row r="188" spans="3:20" ht="15" hidden="1" outlineLevel="2">
      <c r="C188" s="1464"/>
      <c r="D188" s="1464"/>
      <c r="E188" s="1459"/>
      <c r="F188" s="1462"/>
      <c r="G188" s="353"/>
      <c r="H188" s="340" t="s">
        <v>22</v>
      </c>
      <c r="I188" s="341"/>
      <c r="J188" s="341">
        <v>0</v>
      </c>
      <c r="K188" s="341"/>
      <c r="L188" s="341"/>
      <c r="M188" s="410"/>
      <c r="N188" s="341"/>
      <c r="O188" s="357">
        <f t="shared" si="82"/>
        <v>0</v>
      </c>
      <c r="P188" s="341">
        <v>0</v>
      </c>
      <c r="Q188" s="431">
        <v>0</v>
      </c>
      <c r="T188" s="418"/>
    </row>
    <row r="189" spans="3:20" ht="15" hidden="1" outlineLevel="2">
      <c r="C189" s="1464"/>
      <c r="D189" s="1464"/>
      <c r="E189" s="1459"/>
      <c r="F189" s="1462"/>
      <c r="G189" s="353"/>
      <c r="H189" s="340" t="s">
        <v>22</v>
      </c>
      <c r="I189" s="341"/>
      <c r="J189" s="341">
        <v>0</v>
      </c>
      <c r="K189" s="341"/>
      <c r="L189" s="341"/>
      <c r="M189" s="410"/>
      <c r="N189" s="341"/>
      <c r="O189" s="357">
        <f t="shared" si="82"/>
        <v>0</v>
      </c>
      <c r="P189" s="341">
        <v>0</v>
      </c>
      <c r="Q189" s="431">
        <v>0</v>
      </c>
      <c r="T189" s="418"/>
    </row>
    <row r="190" spans="3:20" ht="15" hidden="1" outlineLevel="2">
      <c r="C190" s="1464"/>
      <c r="D190" s="1464"/>
      <c r="E190" s="1459"/>
      <c r="F190" s="1462"/>
      <c r="G190" s="1454" t="s">
        <v>44</v>
      </c>
      <c r="H190" s="1455"/>
      <c r="I190" s="365">
        <f>SUM(I171:I189)</f>
        <v>0</v>
      </c>
      <c r="J190" s="365">
        <f t="shared" ref="J190:N190" si="90">SUM(J171:J189)</f>
        <v>0</v>
      </c>
      <c r="K190" s="365">
        <f t="shared" si="90"/>
        <v>0</v>
      </c>
      <c r="L190" s="365">
        <f t="shared" ref="L190" si="91">SUM(L171:L189)</f>
        <v>0</v>
      </c>
      <c r="M190" s="366" t="s">
        <v>43</v>
      </c>
      <c r="N190" s="365">
        <f t="shared" si="90"/>
        <v>0</v>
      </c>
      <c r="O190" s="361">
        <f t="shared" si="82"/>
        <v>0</v>
      </c>
      <c r="P190" s="365">
        <f t="shared" ref="P190:Q190" si="92">SUM(P171:P189)</f>
        <v>0</v>
      </c>
      <c r="Q190" s="436">
        <f t="shared" si="92"/>
        <v>0</v>
      </c>
      <c r="T190" s="418"/>
    </row>
    <row r="191" spans="3:20" ht="15" hidden="1" outlineLevel="2">
      <c r="C191" s="1464"/>
      <c r="D191" s="1464"/>
      <c r="E191" s="1459"/>
      <c r="F191" s="1462"/>
      <c r="G191" s="343"/>
      <c r="H191" s="335" t="s">
        <v>4</v>
      </c>
      <c r="I191" s="336">
        <f>I157</f>
        <v>0</v>
      </c>
      <c r="J191" s="336">
        <f>J157</f>
        <v>0</v>
      </c>
      <c r="K191" s="336">
        <f>K157</f>
        <v>0</v>
      </c>
      <c r="L191" s="336">
        <f>L157</f>
        <v>0</v>
      </c>
      <c r="M191" s="337" t="s">
        <v>49</v>
      </c>
      <c r="N191" s="336">
        <f>N157</f>
        <v>0</v>
      </c>
      <c r="O191" s="338">
        <f t="shared" si="82"/>
        <v>0</v>
      </c>
      <c r="P191" s="336">
        <f>P157</f>
        <v>0</v>
      </c>
      <c r="Q191" s="430">
        <f>Q157</f>
        <v>0</v>
      </c>
      <c r="T191" s="418"/>
    </row>
    <row r="192" spans="3:20" ht="15" hidden="1" outlineLevel="2">
      <c r="C192" s="1464"/>
      <c r="D192" s="1464"/>
      <c r="E192" s="1459"/>
      <c r="F192" s="1462"/>
      <c r="G192" s="350"/>
      <c r="H192" s="335" t="s">
        <v>29</v>
      </c>
      <c r="I192" s="336">
        <f>I170</f>
        <v>0</v>
      </c>
      <c r="J192" s="336">
        <f t="shared" ref="J192:N192" si="93">J170</f>
        <v>0</v>
      </c>
      <c r="K192" s="336">
        <f t="shared" si="93"/>
        <v>0</v>
      </c>
      <c r="L192" s="336">
        <f t="shared" ref="L192" si="94">L170</f>
        <v>0</v>
      </c>
      <c r="M192" s="336" t="str">
        <f t="shared" si="93"/>
        <v>Cash Security</v>
      </c>
      <c r="N192" s="336">
        <f t="shared" si="93"/>
        <v>0</v>
      </c>
      <c r="O192" s="338">
        <f t="shared" ref="O192:O255" si="95">IF(N192=0,0,N192/J192)</f>
        <v>0</v>
      </c>
      <c r="P192" s="336">
        <f t="shared" ref="P192:Q192" si="96">P170</f>
        <v>0</v>
      </c>
      <c r="Q192" s="430">
        <f t="shared" si="96"/>
        <v>0</v>
      </c>
      <c r="T192" s="418"/>
    </row>
    <row r="193" spans="3:20" ht="15" hidden="1" outlineLevel="2">
      <c r="C193" s="1464"/>
      <c r="D193" s="1464"/>
      <c r="E193" s="1459"/>
      <c r="F193" s="1462"/>
      <c r="G193" s="350"/>
      <c r="H193" s="340" t="s">
        <v>22</v>
      </c>
      <c r="I193" s="336">
        <f>I190</f>
        <v>0</v>
      </c>
      <c r="J193" s="336">
        <f t="shared" ref="J193:N193" si="97">J190</f>
        <v>0</v>
      </c>
      <c r="K193" s="336">
        <f t="shared" si="97"/>
        <v>0</v>
      </c>
      <c r="L193" s="336">
        <f t="shared" ref="L193" si="98">L190</f>
        <v>0</v>
      </c>
      <c r="M193" s="336" t="str">
        <f t="shared" si="97"/>
        <v>Cash Security</v>
      </c>
      <c r="N193" s="336">
        <f t="shared" si="97"/>
        <v>0</v>
      </c>
      <c r="O193" s="338">
        <f t="shared" si="95"/>
        <v>0</v>
      </c>
      <c r="P193" s="336">
        <f t="shared" ref="P193:Q193" si="99">P190</f>
        <v>0</v>
      </c>
      <c r="Q193" s="430">
        <f t="shared" si="99"/>
        <v>0</v>
      </c>
      <c r="T193" s="418"/>
    </row>
    <row r="194" spans="3:20" ht="15" hidden="1" outlineLevel="1" collapsed="1">
      <c r="C194" s="1464"/>
      <c r="D194" s="1464"/>
      <c r="E194" s="1459"/>
      <c r="F194" s="1463"/>
      <c r="G194" s="1454" t="s">
        <v>177</v>
      </c>
      <c r="H194" s="1455"/>
      <c r="I194" s="359">
        <f>(I191/usdrate)+(I192*eurrate)+I193</f>
        <v>0</v>
      </c>
      <c r="J194" s="359">
        <f>(J191/usdrate)+(J192*eurrate)+J193</f>
        <v>0</v>
      </c>
      <c r="K194" s="359">
        <f>(K191/usdrate)+(K192*eurrate)+K193</f>
        <v>0</v>
      </c>
      <c r="L194" s="359">
        <f>(L191/usdrate)+(L192*eurrate)+L193</f>
        <v>0</v>
      </c>
      <c r="M194" s="360" t="s">
        <v>178</v>
      </c>
      <c r="N194" s="359">
        <f>(N191/usdrate)+(N192*eurrate)+N193</f>
        <v>0</v>
      </c>
      <c r="O194" s="367">
        <f t="shared" si="95"/>
        <v>0</v>
      </c>
      <c r="P194" s="359">
        <f>(P191/usdrate)+(P192*eurrate)+P193</f>
        <v>0</v>
      </c>
      <c r="Q194" s="435">
        <f>(Q191/usdrate)+(Q192*eurrate)+Q193</f>
        <v>0</v>
      </c>
      <c r="T194" s="418"/>
    </row>
    <row r="195" spans="3:20" ht="15" hidden="1" outlineLevel="2">
      <c r="C195" s="1464"/>
      <c r="D195" s="1464"/>
      <c r="E195" s="1459"/>
      <c r="F195" s="1461" t="s">
        <v>174</v>
      </c>
      <c r="G195" s="368"/>
      <c r="H195" s="335" t="s">
        <v>4</v>
      </c>
      <c r="I195" s="336"/>
      <c r="J195" s="336"/>
      <c r="K195" s="336"/>
      <c r="L195" s="336"/>
      <c r="M195" s="363"/>
      <c r="N195" s="336"/>
      <c r="O195" s="338">
        <f t="shared" si="95"/>
        <v>0</v>
      </c>
      <c r="P195" s="336"/>
      <c r="Q195" s="430"/>
      <c r="T195" s="418"/>
    </row>
    <row r="196" spans="3:20" ht="15" hidden="1" outlineLevel="2">
      <c r="C196" s="1464"/>
      <c r="D196" s="1464"/>
      <c r="E196" s="1459"/>
      <c r="F196" s="1462"/>
      <c r="G196" s="368"/>
      <c r="H196" s="335" t="s">
        <v>4</v>
      </c>
      <c r="I196" s="336"/>
      <c r="J196" s="336"/>
      <c r="K196" s="336"/>
      <c r="L196" s="336"/>
      <c r="M196" s="363"/>
      <c r="N196" s="336"/>
      <c r="O196" s="338">
        <f t="shared" si="95"/>
        <v>0</v>
      </c>
      <c r="P196" s="336"/>
      <c r="Q196" s="430"/>
      <c r="T196" s="418"/>
    </row>
    <row r="197" spans="3:20" ht="15" hidden="1" outlineLevel="2">
      <c r="C197" s="1464"/>
      <c r="D197" s="1464"/>
      <c r="E197" s="1459"/>
      <c r="F197" s="1462"/>
      <c r="G197" s="368"/>
      <c r="H197" s="335" t="s">
        <v>4</v>
      </c>
      <c r="I197" s="336"/>
      <c r="J197" s="336"/>
      <c r="K197" s="336"/>
      <c r="L197" s="336"/>
      <c r="M197" s="363"/>
      <c r="N197" s="336"/>
      <c r="O197" s="338">
        <f t="shared" si="95"/>
        <v>0</v>
      </c>
      <c r="P197" s="336"/>
      <c r="Q197" s="430"/>
      <c r="T197" s="418"/>
    </row>
    <row r="198" spans="3:20" ht="15" hidden="1" outlineLevel="2">
      <c r="C198" s="1464"/>
      <c r="D198" s="1464"/>
      <c r="E198" s="1459"/>
      <c r="F198" s="1462"/>
      <c r="G198" s="368"/>
      <c r="H198" s="335" t="s">
        <v>4</v>
      </c>
      <c r="I198" s="336"/>
      <c r="J198" s="336"/>
      <c r="K198" s="336"/>
      <c r="L198" s="336"/>
      <c r="M198" s="363"/>
      <c r="N198" s="336"/>
      <c r="O198" s="338">
        <f t="shared" si="95"/>
        <v>0</v>
      </c>
      <c r="P198" s="336"/>
      <c r="Q198" s="430"/>
      <c r="T198" s="418"/>
    </row>
    <row r="199" spans="3:20" ht="15" hidden="1" outlineLevel="2">
      <c r="C199" s="1464"/>
      <c r="D199" s="1464"/>
      <c r="E199" s="1459"/>
      <c r="F199" s="1462"/>
      <c r="G199" s="368"/>
      <c r="H199" s="335" t="s">
        <v>4</v>
      </c>
      <c r="I199" s="336"/>
      <c r="J199" s="336"/>
      <c r="K199" s="336"/>
      <c r="L199" s="336"/>
      <c r="M199" s="363"/>
      <c r="N199" s="336"/>
      <c r="O199" s="338">
        <f t="shared" si="95"/>
        <v>0</v>
      </c>
      <c r="P199" s="336"/>
      <c r="Q199" s="430"/>
      <c r="T199" s="418"/>
    </row>
    <row r="200" spans="3:20" ht="15" hidden="1" outlineLevel="2">
      <c r="C200" s="1464"/>
      <c r="D200" s="1464"/>
      <c r="E200" s="1459"/>
      <c r="F200" s="1462"/>
      <c r="G200" s="368"/>
      <c r="H200" s="335" t="s">
        <v>4</v>
      </c>
      <c r="I200" s="336"/>
      <c r="J200" s="336"/>
      <c r="K200" s="336"/>
      <c r="L200" s="336"/>
      <c r="M200" s="363"/>
      <c r="N200" s="336"/>
      <c r="O200" s="338">
        <f t="shared" si="95"/>
        <v>0</v>
      </c>
      <c r="P200" s="336"/>
      <c r="Q200" s="430"/>
      <c r="T200" s="418"/>
    </row>
    <row r="201" spans="3:20" ht="15" hidden="1" outlineLevel="2">
      <c r="C201" s="1464"/>
      <c r="D201" s="1464"/>
      <c r="E201" s="1459"/>
      <c r="F201" s="1462"/>
      <c r="G201" s="368"/>
      <c r="H201" s="335" t="s">
        <v>4</v>
      </c>
      <c r="I201" s="336"/>
      <c r="J201" s="336"/>
      <c r="K201" s="336"/>
      <c r="L201" s="336"/>
      <c r="M201" s="363"/>
      <c r="N201" s="336"/>
      <c r="O201" s="338">
        <f t="shared" si="95"/>
        <v>0</v>
      </c>
      <c r="P201" s="336"/>
      <c r="Q201" s="430"/>
      <c r="T201" s="418"/>
    </row>
    <row r="202" spans="3:20" ht="15" hidden="1" outlineLevel="2">
      <c r="C202" s="1464"/>
      <c r="D202" s="1464"/>
      <c r="E202" s="1459"/>
      <c r="F202" s="1462"/>
      <c r="G202" s="368"/>
      <c r="H202" s="335" t="s">
        <v>4</v>
      </c>
      <c r="I202" s="336"/>
      <c r="J202" s="336"/>
      <c r="K202" s="336"/>
      <c r="L202" s="336"/>
      <c r="M202" s="363"/>
      <c r="N202" s="336"/>
      <c r="O202" s="338">
        <f t="shared" si="95"/>
        <v>0</v>
      </c>
      <c r="P202" s="336"/>
      <c r="Q202" s="430"/>
      <c r="T202" s="418"/>
    </row>
    <row r="203" spans="3:20" ht="15" hidden="1" outlineLevel="2">
      <c r="C203" s="1464"/>
      <c r="D203" s="1464"/>
      <c r="E203" s="1459"/>
      <c r="F203" s="1462"/>
      <c r="G203" s="368"/>
      <c r="H203" s="335" t="s">
        <v>4</v>
      </c>
      <c r="I203" s="336"/>
      <c r="J203" s="336"/>
      <c r="K203" s="336"/>
      <c r="L203" s="336"/>
      <c r="M203" s="363"/>
      <c r="N203" s="336"/>
      <c r="O203" s="338">
        <f t="shared" si="95"/>
        <v>0</v>
      </c>
      <c r="P203" s="336"/>
      <c r="Q203" s="430"/>
      <c r="T203" s="418"/>
    </row>
    <row r="204" spans="3:20" ht="15" hidden="1" outlineLevel="2">
      <c r="C204" s="1464"/>
      <c r="D204" s="1464"/>
      <c r="E204" s="1459"/>
      <c r="F204" s="1462"/>
      <c r="G204" s="368"/>
      <c r="H204" s="335" t="s">
        <v>4</v>
      </c>
      <c r="I204" s="336"/>
      <c r="J204" s="336"/>
      <c r="K204" s="336"/>
      <c r="L204" s="336"/>
      <c r="M204" s="363"/>
      <c r="N204" s="336"/>
      <c r="O204" s="338">
        <f t="shared" si="95"/>
        <v>0</v>
      </c>
      <c r="P204" s="336"/>
      <c r="Q204" s="430"/>
      <c r="T204" s="418"/>
    </row>
    <row r="205" spans="3:20" ht="15" hidden="1" outlineLevel="2">
      <c r="C205" s="1464"/>
      <c r="D205" s="1464"/>
      <c r="E205" s="1459"/>
      <c r="F205" s="1462"/>
      <c r="G205" s="368"/>
      <c r="H205" s="335" t="s">
        <v>4</v>
      </c>
      <c r="I205" s="336"/>
      <c r="J205" s="336"/>
      <c r="K205" s="336"/>
      <c r="L205" s="336"/>
      <c r="M205" s="363"/>
      <c r="N205" s="336"/>
      <c r="O205" s="338">
        <f t="shared" si="95"/>
        <v>0</v>
      </c>
      <c r="P205" s="336"/>
      <c r="Q205" s="430"/>
      <c r="T205" s="418"/>
    </row>
    <row r="206" spans="3:20" ht="15" hidden="1" outlineLevel="2">
      <c r="C206" s="1464"/>
      <c r="D206" s="1464"/>
      <c r="E206" s="1459"/>
      <c r="F206" s="1462"/>
      <c r="G206" s="368"/>
      <c r="H206" s="335" t="s">
        <v>4</v>
      </c>
      <c r="I206" s="336"/>
      <c r="J206" s="336"/>
      <c r="K206" s="336"/>
      <c r="L206" s="336"/>
      <c r="M206" s="363"/>
      <c r="N206" s="336"/>
      <c r="O206" s="338">
        <f t="shared" si="95"/>
        <v>0</v>
      </c>
      <c r="P206" s="336"/>
      <c r="Q206" s="430"/>
      <c r="T206" s="418"/>
    </row>
    <row r="207" spans="3:20" ht="15" hidden="1" outlineLevel="2">
      <c r="C207" s="1464"/>
      <c r="D207" s="1464"/>
      <c r="E207" s="1459"/>
      <c r="F207" s="1462"/>
      <c r="G207" s="368"/>
      <c r="H207" s="335" t="s">
        <v>4</v>
      </c>
      <c r="I207" s="336"/>
      <c r="J207" s="336"/>
      <c r="K207" s="336"/>
      <c r="L207" s="336"/>
      <c r="M207" s="363"/>
      <c r="N207" s="336"/>
      <c r="O207" s="338">
        <f t="shared" si="95"/>
        <v>0</v>
      </c>
      <c r="P207" s="336"/>
      <c r="Q207" s="430"/>
      <c r="T207" s="418"/>
    </row>
    <row r="208" spans="3:20" ht="15" hidden="1" outlineLevel="2">
      <c r="C208" s="1464"/>
      <c r="D208" s="1464"/>
      <c r="E208" s="1459"/>
      <c r="F208" s="1462"/>
      <c r="G208" s="368"/>
      <c r="H208" s="335" t="s">
        <v>4</v>
      </c>
      <c r="I208" s="336"/>
      <c r="J208" s="336"/>
      <c r="K208" s="336"/>
      <c r="L208" s="336"/>
      <c r="M208" s="363"/>
      <c r="N208" s="336"/>
      <c r="O208" s="338">
        <f t="shared" si="95"/>
        <v>0</v>
      </c>
      <c r="P208" s="336"/>
      <c r="Q208" s="430"/>
      <c r="T208" s="418"/>
    </row>
    <row r="209" spans="3:20" ht="15" hidden="1" outlineLevel="2">
      <c r="C209" s="1464"/>
      <c r="D209" s="1464"/>
      <c r="E209" s="1459"/>
      <c r="F209" s="1462"/>
      <c r="G209" s="368"/>
      <c r="H209" s="335" t="s">
        <v>4</v>
      </c>
      <c r="I209" s="336"/>
      <c r="J209" s="336"/>
      <c r="K209" s="336"/>
      <c r="L209" s="336"/>
      <c r="M209" s="363"/>
      <c r="N209" s="336"/>
      <c r="O209" s="338">
        <f t="shared" si="95"/>
        <v>0</v>
      </c>
      <c r="P209" s="336"/>
      <c r="Q209" s="430"/>
      <c r="T209" s="418"/>
    </row>
    <row r="210" spans="3:20" ht="15" hidden="1" outlineLevel="2">
      <c r="C210" s="1464"/>
      <c r="D210" s="1464"/>
      <c r="E210" s="1459"/>
      <c r="F210" s="1462"/>
      <c r="G210" s="368"/>
      <c r="H210" s="335" t="s">
        <v>4</v>
      </c>
      <c r="I210" s="336"/>
      <c r="J210" s="336"/>
      <c r="K210" s="336"/>
      <c r="L210" s="336"/>
      <c r="M210" s="363"/>
      <c r="N210" s="336"/>
      <c r="O210" s="338">
        <f t="shared" si="95"/>
        <v>0</v>
      </c>
      <c r="P210" s="336"/>
      <c r="Q210" s="430"/>
      <c r="T210" s="418"/>
    </row>
    <row r="211" spans="3:20" ht="15" hidden="1" outlineLevel="2">
      <c r="C211" s="1464"/>
      <c r="D211" s="1464"/>
      <c r="E211" s="1459"/>
      <c r="F211" s="1462"/>
      <c r="G211" s="368"/>
      <c r="H211" s="335" t="s">
        <v>4</v>
      </c>
      <c r="I211" s="336"/>
      <c r="J211" s="336"/>
      <c r="K211" s="336"/>
      <c r="L211" s="336"/>
      <c r="M211" s="363"/>
      <c r="N211" s="336"/>
      <c r="O211" s="338">
        <f t="shared" si="95"/>
        <v>0</v>
      </c>
      <c r="P211" s="336"/>
      <c r="Q211" s="430"/>
      <c r="T211" s="418"/>
    </row>
    <row r="212" spans="3:20" ht="15" hidden="1" outlineLevel="2">
      <c r="C212" s="1464"/>
      <c r="D212" s="1464"/>
      <c r="E212" s="1459"/>
      <c r="F212" s="1462"/>
      <c r="G212" s="368"/>
      <c r="H212" s="335" t="s">
        <v>4</v>
      </c>
      <c r="I212" s="336"/>
      <c r="J212" s="336"/>
      <c r="K212" s="336"/>
      <c r="L212" s="336"/>
      <c r="M212" s="363"/>
      <c r="N212" s="336"/>
      <c r="O212" s="338">
        <f t="shared" si="95"/>
        <v>0</v>
      </c>
      <c r="P212" s="336"/>
      <c r="Q212" s="430"/>
      <c r="T212" s="418"/>
    </row>
    <row r="213" spans="3:20" ht="15" hidden="1" outlineLevel="2">
      <c r="C213" s="1464"/>
      <c r="D213" s="1464"/>
      <c r="E213" s="1459"/>
      <c r="F213" s="1462"/>
      <c r="G213" s="368"/>
      <c r="H213" s="335" t="s">
        <v>4</v>
      </c>
      <c r="I213" s="336"/>
      <c r="J213" s="336"/>
      <c r="K213" s="336"/>
      <c r="L213" s="336"/>
      <c r="M213" s="363"/>
      <c r="N213" s="336"/>
      <c r="O213" s="338">
        <f t="shared" si="95"/>
        <v>0</v>
      </c>
      <c r="P213" s="336"/>
      <c r="Q213" s="430"/>
      <c r="T213" s="418"/>
    </row>
    <row r="214" spans="3:20" ht="15" hidden="1" outlineLevel="2">
      <c r="C214" s="1464"/>
      <c r="D214" s="1464"/>
      <c r="E214" s="1459"/>
      <c r="F214" s="1462"/>
      <c r="G214" s="368"/>
      <c r="H214" s="335" t="s">
        <v>4</v>
      </c>
      <c r="I214" s="336"/>
      <c r="J214" s="336"/>
      <c r="K214" s="336"/>
      <c r="L214" s="336"/>
      <c r="M214" s="363"/>
      <c r="N214" s="336"/>
      <c r="O214" s="338">
        <f t="shared" si="95"/>
        <v>0</v>
      </c>
      <c r="P214" s="336"/>
      <c r="Q214" s="430"/>
      <c r="T214" s="418"/>
    </row>
    <row r="215" spans="3:20" ht="15" hidden="1" outlineLevel="2">
      <c r="C215" s="1464"/>
      <c r="D215" s="1464"/>
      <c r="E215" s="1459"/>
      <c r="F215" s="1462"/>
      <c r="G215" s="368"/>
      <c r="H215" s="335" t="s">
        <v>4</v>
      </c>
      <c r="I215" s="336"/>
      <c r="J215" s="336"/>
      <c r="K215" s="336"/>
      <c r="L215" s="336"/>
      <c r="M215" s="363"/>
      <c r="N215" s="336"/>
      <c r="O215" s="338">
        <f t="shared" si="95"/>
        <v>0</v>
      </c>
      <c r="P215" s="336"/>
      <c r="Q215" s="430"/>
      <c r="T215" s="418"/>
    </row>
    <row r="216" spans="3:20" ht="15" hidden="1" outlineLevel="2">
      <c r="C216" s="1464"/>
      <c r="D216" s="1464"/>
      <c r="E216" s="1459"/>
      <c r="F216" s="1462"/>
      <c r="G216" s="368"/>
      <c r="H216" s="335" t="s">
        <v>4</v>
      </c>
      <c r="I216" s="336"/>
      <c r="J216" s="336"/>
      <c r="K216" s="336"/>
      <c r="L216" s="336"/>
      <c r="M216" s="363"/>
      <c r="N216" s="336"/>
      <c r="O216" s="338">
        <f t="shared" si="95"/>
        <v>0</v>
      </c>
      <c r="P216" s="336"/>
      <c r="Q216" s="430"/>
      <c r="T216" s="418"/>
    </row>
    <row r="217" spans="3:20" ht="15" hidden="1" outlineLevel="2">
      <c r="C217" s="1464"/>
      <c r="D217" s="1464"/>
      <c r="E217" s="1459"/>
      <c r="F217" s="1462"/>
      <c r="G217" s="368"/>
      <c r="H217" s="335" t="s">
        <v>4</v>
      </c>
      <c r="I217" s="336"/>
      <c r="J217" s="336"/>
      <c r="K217" s="336"/>
      <c r="L217" s="336"/>
      <c r="M217" s="363"/>
      <c r="N217" s="336"/>
      <c r="O217" s="338">
        <f t="shared" si="95"/>
        <v>0</v>
      </c>
      <c r="P217" s="336"/>
      <c r="Q217" s="430"/>
      <c r="T217" s="418"/>
    </row>
    <row r="218" spans="3:20" ht="15" hidden="1" outlineLevel="2">
      <c r="C218" s="1464"/>
      <c r="D218" s="1464"/>
      <c r="E218" s="1459"/>
      <c r="F218" s="1462"/>
      <c r="G218" s="368"/>
      <c r="H218" s="335" t="s">
        <v>4</v>
      </c>
      <c r="I218" s="336"/>
      <c r="J218" s="336"/>
      <c r="K218" s="336"/>
      <c r="L218" s="336"/>
      <c r="M218" s="363"/>
      <c r="N218" s="336"/>
      <c r="O218" s="338">
        <f t="shared" si="95"/>
        <v>0</v>
      </c>
      <c r="P218" s="336"/>
      <c r="Q218" s="430"/>
      <c r="T218" s="418"/>
    </row>
    <row r="219" spans="3:20" ht="15" hidden="1" outlineLevel="2">
      <c r="C219" s="1464"/>
      <c r="D219" s="1464"/>
      <c r="E219" s="1459"/>
      <c r="F219" s="1462"/>
      <c r="G219" s="368"/>
      <c r="H219" s="335" t="s">
        <v>4</v>
      </c>
      <c r="I219" s="336"/>
      <c r="J219" s="336"/>
      <c r="K219" s="336"/>
      <c r="L219" s="336"/>
      <c r="M219" s="363"/>
      <c r="N219" s="336"/>
      <c r="O219" s="338">
        <f t="shared" si="95"/>
        <v>0</v>
      </c>
      <c r="P219" s="336"/>
      <c r="Q219" s="430"/>
      <c r="T219" s="418"/>
    </row>
    <row r="220" spans="3:20" ht="15" hidden="1" outlineLevel="2">
      <c r="C220" s="1464"/>
      <c r="D220" s="1464"/>
      <c r="E220" s="1459"/>
      <c r="F220" s="1462"/>
      <c r="G220" s="368"/>
      <c r="H220" s="335" t="s">
        <v>4</v>
      </c>
      <c r="I220" s="336"/>
      <c r="J220" s="336"/>
      <c r="K220" s="336"/>
      <c r="L220" s="336"/>
      <c r="M220" s="363"/>
      <c r="N220" s="336"/>
      <c r="O220" s="338">
        <f t="shared" si="95"/>
        <v>0</v>
      </c>
      <c r="P220" s="336"/>
      <c r="Q220" s="430"/>
      <c r="T220" s="418"/>
    </row>
    <row r="221" spans="3:20" ht="15" hidden="1" outlineLevel="2">
      <c r="C221" s="1464"/>
      <c r="D221" s="1464"/>
      <c r="E221" s="1459"/>
      <c r="F221" s="1462"/>
      <c r="G221" s="368"/>
      <c r="H221" s="335" t="s">
        <v>4</v>
      </c>
      <c r="I221" s="336"/>
      <c r="J221" s="336"/>
      <c r="K221" s="336"/>
      <c r="L221" s="336"/>
      <c r="M221" s="363"/>
      <c r="N221" s="336"/>
      <c r="O221" s="338">
        <f t="shared" si="95"/>
        <v>0</v>
      </c>
      <c r="P221" s="336"/>
      <c r="Q221" s="430"/>
      <c r="T221" s="418"/>
    </row>
    <row r="222" spans="3:20" ht="15" hidden="1" outlineLevel="2">
      <c r="C222" s="1464"/>
      <c r="D222" s="1464"/>
      <c r="E222" s="1459"/>
      <c r="F222" s="1462"/>
      <c r="G222" s="368"/>
      <c r="H222" s="335" t="s">
        <v>4</v>
      </c>
      <c r="I222" s="336"/>
      <c r="J222" s="336"/>
      <c r="K222" s="336"/>
      <c r="L222" s="336"/>
      <c r="M222" s="363"/>
      <c r="N222" s="336"/>
      <c r="O222" s="338">
        <f t="shared" si="95"/>
        <v>0</v>
      </c>
      <c r="P222" s="336"/>
      <c r="Q222" s="430"/>
      <c r="T222" s="418"/>
    </row>
    <row r="223" spans="3:20" ht="15" hidden="1" outlineLevel="2">
      <c r="C223" s="1464"/>
      <c r="D223" s="1464"/>
      <c r="E223" s="1459"/>
      <c r="F223" s="1462"/>
      <c r="G223" s="1454" t="s">
        <v>45</v>
      </c>
      <c r="H223" s="1455"/>
      <c r="I223" s="359">
        <f>SUM(I195:I222)</f>
        <v>0</v>
      </c>
      <c r="J223" s="359">
        <f>SUM(J195:J222)</f>
        <v>0</v>
      </c>
      <c r="K223" s="359">
        <f t="shared" ref="K223:L223" si="100">SUM(K211:K222)</f>
        <v>0</v>
      </c>
      <c r="L223" s="359">
        <f t="shared" si="100"/>
        <v>0</v>
      </c>
      <c r="M223" s="360" t="s">
        <v>43</v>
      </c>
      <c r="N223" s="359">
        <f>SUM(N195:N222)</f>
        <v>0</v>
      </c>
      <c r="O223" s="361">
        <f t="shared" si="95"/>
        <v>0</v>
      </c>
      <c r="P223" s="359">
        <f>SUM(P195:P222)</f>
        <v>0</v>
      </c>
      <c r="Q223" s="435">
        <f>SUM(Q195:Q222)</f>
        <v>0</v>
      </c>
      <c r="T223" s="418"/>
    </row>
    <row r="224" spans="3:20" ht="15" hidden="1" outlineLevel="2">
      <c r="C224" s="1464"/>
      <c r="D224" s="1464"/>
      <c r="E224" s="1459"/>
      <c r="F224" s="1462"/>
      <c r="G224" s="353"/>
      <c r="H224" s="340" t="s">
        <v>29</v>
      </c>
      <c r="I224" s="341"/>
      <c r="J224" s="336"/>
      <c r="K224" s="336"/>
      <c r="L224" s="336"/>
      <c r="M224" s="363"/>
      <c r="N224" s="336"/>
      <c r="O224" s="338">
        <f t="shared" si="95"/>
        <v>0</v>
      </c>
      <c r="P224" s="336"/>
      <c r="Q224" s="430"/>
      <c r="T224" s="418"/>
    </row>
    <row r="225" spans="3:20" ht="15" hidden="1" outlineLevel="2">
      <c r="C225" s="1464"/>
      <c r="D225" s="1464"/>
      <c r="E225" s="1459"/>
      <c r="F225" s="1462"/>
      <c r="G225" s="353"/>
      <c r="H225" s="340" t="s">
        <v>29</v>
      </c>
      <c r="I225" s="341"/>
      <c r="J225" s="336"/>
      <c r="K225" s="336"/>
      <c r="L225" s="336"/>
      <c r="M225" s="363"/>
      <c r="N225" s="336"/>
      <c r="O225" s="338">
        <f t="shared" si="95"/>
        <v>0</v>
      </c>
      <c r="P225" s="336"/>
      <c r="Q225" s="430"/>
      <c r="T225" s="418"/>
    </row>
    <row r="226" spans="3:20" ht="15" hidden="1" outlineLevel="2">
      <c r="C226" s="1464"/>
      <c r="D226" s="1464"/>
      <c r="E226" s="1459"/>
      <c r="F226" s="1462"/>
      <c r="G226" s="353"/>
      <c r="H226" s="340" t="s">
        <v>29</v>
      </c>
      <c r="I226" s="341"/>
      <c r="J226" s="336"/>
      <c r="K226" s="336"/>
      <c r="L226" s="336"/>
      <c r="M226" s="363"/>
      <c r="N226" s="336"/>
      <c r="O226" s="338">
        <f t="shared" si="95"/>
        <v>0</v>
      </c>
      <c r="P226" s="336"/>
      <c r="Q226" s="430"/>
      <c r="T226" s="418"/>
    </row>
    <row r="227" spans="3:20" ht="15" hidden="1" outlineLevel="2">
      <c r="C227" s="1464"/>
      <c r="D227" s="1464"/>
      <c r="E227" s="1459"/>
      <c r="F227" s="1462"/>
      <c r="G227" s="353"/>
      <c r="H227" s="340" t="s">
        <v>29</v>
      </c>
      <c r="I227" s="341"/>
      <c r="J227" s="336"/>
      <c r="K227" s="336"/>
      <c r="L227" s="336"/>
      <c r="M227" s="363"/>
      <c r="N227" s="336"/>
      <c r="O227" s="338">
        <f t="shared" si="95"/>
        <v>0</v>
      </c>
      <c r="P227" s="336"/>
      <c r="Q227" s="430"/>
      <c r="T227" s="418"/>
    </row>
    <row r="228" spans="3:20" ht="15" hidden="1" outlineLevel="2">
      <c r="C228" s="1464"/>
      <c r="D228" s="1464"/>
      <c r="E228" s="1459"/>
      <c r="F228" s="1462"/>
      <c r="G228" s="353"/>
      <c r="H228" s="340" t="s">
        <v>29</v>
      </c>
      <c r="I228" s="341"/>
      <c r="J228" s="336"/>
      <c r="K228" s="336"/>
      <c r="L228" s="336"/>
      <c r="M228" s="363"/>
      <c r="N228" s="336"/>
      <c r="O228" s="338">
        <f t="shared" si="95"/>
        <v>0</v>
      </c>
      <c r="P228" s="336"/>
      <c r="Q228" s="430"/>
      <c r="T228" s="418"/>
    </row>
    <row r="229" spans="3:20" ht="15" hidden="1" outlineLevel="2">
      <c r="C229" s="1464"/>
      <c r="D229" s="1464"/>
      <c r="E229" s="1459"/>
      <c r="F229" s="1462"/>
      <c r="G229" s="353"/>
      <c r="H229" s="340" t="s">
        <v>29</v>
      </c>
      <c r="I229" s="341"/>
      <c r="J229" s="336"/>
      <c r="K229" s="336"/>
      <c r="L229" s="336"/>
      <c r="M229" s="363"/>
      <c r="N229" s="336"/>
      <c r="O229" s="338">
        <f t="shared" si="95"/>
        <v>0</v>
      </c>
      <c r="P229" s="336"/>
      <c r="Q229" s="430"/>
      <c r="T229" s="418"/>
    </row>
    <row r="230" spans="3:20" ht="15" hidden="1" outlineLevel="2">
      <c r="C230" s="1464"/>
      <c r="D230" s="1464"/>
      <c r="E230" s="1459"/>
      <c r="F230" s="1462"/>
      <c r="G230" s="353"/>
      <c r="H230" s="340" t="s">
        <v>29</v>
      </c>
      <c r="I230" s="341"/>
      <c r="J230" s="336"/>
      <c r="K230" s="336"/>
      <c r="L230" s="336"/>
      <c r="M230" s="363"/>
      <c r="N230" s="336"/>
      <c r="O230" s="338">
        <f t="shared" si="95"/>
        <v>0</v>
      </c>
      <c r="P230" s="336"/>
      <c r="Q230" s="430"/>
      <c r="T230" s="418"/>
    </row>
    <row r="231" spans="3:20" ht="15" hidden="1" outlineLevel="2">
      <c r="C231" s="1464"/>
      <c r="D231" s="1464"/>
      <c r="E231" s="1459"/>
      <c r="F231" s="1462"/>
      <c r="G231" s="353"/>
      <c r="H231" s="340" t="s">
        <v>29</v>
      </c>
      <c r="I231" s="341"/>
      <c r="J231" s="336"/>
      <c r="K231" s="336"/>
      <c r="L231" s="336"/>
      <c r="M231" s="363"/>
      <c r="N231" s="336"/>
      <c r="O231" s="338">
        <f t="shared" si="95"/>
        <v>0</v>
      </c>
      <c r="P231" s="336"/>
      <c r="Q231" s="430"/>
      <c r="T231" s="418"/>
    </row>
    <row r="232" spans="3:20" ht="15" hidden="1" outlineLevel="2">
      <c r="C232" s="1464"/>
      <c r="D232" s="1464"/>
      <c r="E232" s="1459"/>
      <c r="F232" s="1462"/>
      <c r="G232" s="353"/>
      <c r="H232" s="340" t="s">
        <v>29</v>
      </c>
      <c r="I232" s="341"/>
      <c r="J232" s="336"/>
      <c r="K232" s="336"/>
      <c r="L232" s="336"/>
      <c r="M232" s="363"/>
      <c r="N232" s="336"/>
      <c r="O232" s="338">
        <f t="shared" si="95"/>
        <v>0</v>
      </c>
      <c r="P232" s="336"/>
      <c r="Q232" s="430"/>
      <c r="T232" s="418"/>
    </row>
    <row r="233" spans="3:20" ht="15" hidden="1" outlineLevel="2">
      <c r="C233" s="1464"/>
      <c r="D233" s="1464"/>
      <c r="E233" s="1459"/>
      <c r="F233" s="1462"/>
      <c r="G233" s="353"/>
      <c r="H233" s="340" t="s">
        <v>29</v>
      </c>
      <c r="I233" s="341"/>
      <c r="J233" s="336"/>
      <c r="K233" s="336"/>
      <c r="L233" s="336"/>
      <c r="M233" s="363"/>
      <c r="N233" s="336"/>
      <c r="O233" s="338">
        <f t="shared" si="95"/>
        <v>0</v>
      </c>
      <c r="P233" s="336"/>
      <c r="Q233" s="430"/>
      <c r="T233" s="418"/>
    </row>
    <row r="234" spans="3:20" ht="15" hidden="1" outlineLevel="2">
      <c r="C234" s="1464"/>
      <c r="D234" s="1464"/>
      <c r="E234" s="1459"/>
      <c r="F234" s="1462"/>
      <c r="G234" s="353"/>
      <c r="H234" s="340" t="s">
        <v>29</v>
      </c>
      <c r="I234" s="341"/>
      <c r="J234" s="336"/>
      <c r="K234" s="336"/>
      <c r="L234" s="336"/>
      <c r="M234" s="363"/>
      <c r="N234" s="336"/>
      <c r="O234" s="338">
        <f t="shared" si="95"/>
        <v>0</v>
      </c>
      <c r="P234" s="336"/>
      <c r="Q234" s="430"/>
      <c r="T234" s="418"/>
    </row>
    <row r="235" spans="3:20" ht="15" hidden="1" outlineLevel="2">
      <c r="C235" s="1464"/>
      <c r="D235" s="1464"/>
      <c r="E235" s="1459"/>
      <c r="F235" s="1462"/>
      <c r="G235" s="353"/>
      <c r="H235" s="340" t="s">
        <v>29</v>
      </c>
      <c r="I235" s="341"/>
      <c r="J235" s="336"/>
      <c r="K235" s="336"/>
      <c r="L235" s="336"/>
      <c r="M235" s="363"/>
      <c r="N235" s="336"/>
      <c r="O235" s="338">
        <f t="shared" si="95"/>
        <v>0</v>
      </c>
      <c r="P235" s="336"/>
      <c r="Q235" s="430"/>
      <c r="T235" s="418"/>
    </row>
    <row r="236" spans="3:20" ht="15" hidden="1" outlineLevel="2">
      <c r="C236" s="1464"/>
      <c r="D236" s="1464"/>
      <c r="E236" s="1459"/>
      <c r="F236" s="1462"/>
      <c r="G236" s="1454" t="s">
        <v>50</v>
      </c>
      <c r="H236" s="1455"/>
      <c r="I236" s="359">
        <f>SUM(I224:I235)</f>
        <v>0</v>
      </c>
      <c r="J236" s="359">
        <f t="shared" ref="J236" si="101">SUM(J224:J235)</f>
        <v>0</v>
      </c>
      <c r="K236" s="359">
        <f>SUM(K224:K235)</f>
        <v>0</v>
      </c>
      <c r="L236" s="359">
        <f>SUM(L224:L235)</f>
        <v>0</v>
      </c>
      <c r="M236" s="360" t="s">
        <v>43</v>
      </c>
      <c r="N236" s="359">
        <f>SUM(N224:N235)</f>
        <v>0</v>
      </c>
      <c r="O236" s="361">
        <f t="shared" si="95"/>
        <v>0</v>
      </c>
      <c r="P236" s="359">
        <f t="shared" ref="P236:Q236" si="102">SUM(P224:P235)</f>
        <v>0</v>
      </c>
      <c r="Q236" s="435">
        <f t="shared" si="102"/>
        <v>0</v>
      </c>
      <c r="T236" s="418"/>
    </row>
    <row r="237" spans="3:20" ht="15" hidden="1" outlineLevel="2">
      <c r="C237" s="1464"/>
      <c r="D237" s="1464"/>
      <c r="E237" s="1459"/>
      <c r="F237" s="1462"/>
      <c r="G237" s="353"/>
      <c r="H237" s="340" t="s">
        <v>22</v>
      </c>
      <c r="I237" s="341"/>
      <c r="J237" s="341">
        <v>0</v>
      </c>
      <c r="K237" s="341"/>
      <c r="L237" s="341"/>
      <c r="M237" s="410"/>
      <c r="N237" s="341"/>
      <c r="O237" s="357">
        <f t="shared" si="95"/>
        <v>0</v>
      </c>
      <c r="P237" s="341">
        <v>0</v>
      </c>
      <c r="Q237" s="431">
        <v>0</v>
      </c>
      <c r="T237" s="418"/>
    </row>
    <row r="238" spans="3:20" ht="15" hidden="1" outlineLevel="2">
      <c r="C238" s="1464"/>
      <c r="D238" s="1464"/>
      <c r="E238" s="1459"/>
      <c r="F238" s="1462"/>
      <c r="G238" s="353"/>
      <c r="H238" s="340" t="s">
        <v>22</v>
      </c>
      <c r="I238" s="341"/>
      <c r="J238" s="341">
        <v>0</v>
      </c>
      <c r="K238" s="341"/>
      <c r="L238" s="341"/>
      <c r="M238" s="410"/>
      <c r="N238" s="341"/>
      <c r="O238" s="357">
        <f t="shared" si="95"/>
        <v>0</v>
      </c>
      <c r="P238" s="341">
        <v>0</v>
      </c>
      <c r="Q238" s="431">
        <v>0</v>
      </c>
      <c r="T238" s="418"/>
    </row>
    <row r="239" spans="3:20" ht="15" hidden="1" outlineLevel="2">
      <c r="C239" s="1464"/>
      <c r="D239" s="1464"/>
      <c r="E239" s="1459"/>
      <c r="F239" s="1462"/>
      <c r="G239" s="353"/>
      <c r="H239" s="340" t="s">
        <v>22</v>
      </c>
      <c r="I239" s="341"/>
      <c r="J239" s="341">
        <v>0</v>
      </c>
      <c r="K239" s="341"/>
      <c r="L239" s="341"/>
      <c r="M239" s="410"/>
      <c r="N239" s="341"/>
      <c r="O239" s="357">
        <f t="shared" si="95"/>
        <v>0</v>
      </c>
      <c r="P239" s="341">
        <v>0</v>
      </c>
      <c r="Q239" s="431">
        <v>0</v>
      </c>
      <c r="T239" s="418"/>
    </row>
    <row r="240" spans="3:20" ht="15" hidden="1" outlineLevel="2">
      <c r="C240" s="1464"/>
      <c r="D240" s="1464"/>
      <c r="E240" s="1459"/>
      <c r="F240" s="1462"/>
      <c r="G240" s="353"/>
      <c r="H240" s="340" t="s">
        <v>22</v>
      </c>
      <c r="I240" s="341"/>
      <c r="J240" s="341">
        <v>0</v>
      </c>
      <c r="K240" s="341"/>
      <c r="L240" s="341"/>
      <c r="M240" s="410"/>
      <c r="N240" s="341"/>
      <c r="O240" s="357">
        <f t="shared" si="95"/>
        <v>0</v>
      </c>
      <c r="P240" s="341">
        <v>0</v>
      </c>
      <c r="Q240" s="431">
        <v>0</v>
      </c>
      <c r="T240" s="418"/>
    </row>
    <row r="241" spans="3:20" ht="15" hidden="1" outlineLevel="2">
      <c r="C241" s="1464"/>
      <c r="D241" s="1464"/>
      <c r="E241" s="1459"/>
      <c r="F241" s="1462"/>
      <c r="G241" s="353"/>
      <c r="H241" s="340" t="s">
        <v>22</v>
      </c>
      <c r="I241" s="341"/>
      <c r="J241" s="341">
        <v>0</v>
      </c>
      <c r="K241" s="341"/>
      <c r="L241" s="341"/>
      <c r="M241" s="410"/>
      <c r="N241" s="341"/>
      <c r="O241" s="357">
        <f t="shared" si="95"/>
        <v>0</v>
      </c>
      <c r="P241" s="341">
        <v>0</v>
      </c>
      <c r="Q241" s="431">
        <v>0</v>
      </c>
      <c r="T241" s="418"/>
    </row>
    <row r="242" spans="3:20" ht="15" hidden="1" outlineLevel="2">
      <c r="C242" s="1464"/>
      <c r="D242" s="1464"/>
      <c r="E242" s="1459"/>
      <c r="F242" s="1462"/>
      <c r="G242" s="353"/>
      <c r="H242" s="340" t="s">
        <v>22</v>
      </c>
      <c r="I242" s="341"/>
      <c r="J242" s="341">
        <v>0</v>
      </c>
      <c r="K242" s="341"/>
      <c r="L242" s="341"/>
      <c r="M242" s="410"/>
      <c r="N242" s="341"/>
      <c r="O242" s="357">
        <f t="shared" si="95"/>
        <v>0</v>
      </c>
      <c r="P242" s="341">
        <v>0</v>
      </c>
      <c r="Q242" s="431">
        <v>0</v>
      </c>
      <c r="T242" s="418"/>
    </row>
    <row r="243" spans="3:20" ht="15" hidden="1" outlineLevel="2">
      <c r="C243" s="1464"/>
      <c r="D243" s="1464"/>
      <c r="E243" s="1459"/>
      <c r="F243" s="1462"/>
      <c r="G243" s="353"/>
      <c r="H243" s="340" t="s">
        <v>22</v>
      </c>
      <c r="I243" s="341"/>
      <c r="J243" s="341">
        <v>0</v>
      </c>
      <c r="K243" s="341"/>
      <c r="L243" s="341"/>
      <c r="M243" s="410"/>
      <c r="N243" s="341"/>
      <c r="O243" s="357">
        <f t="shared" si="95"/>
        <v>0</v>
      </c>
      <c r="P243" s="341">
        <v>0</v>
      </c>
      <c r="Q243" s="431">
        <v>0</v>
      </c>
      <c r="T243" s="418"/>
    </row>
    <row r="244" spans="3:20" ht="15" hidden="1" outlineLevel="2">
      <c r="C244" s="1464"/>
      <c r="D244" s="1464"/>
      <c r="E244" s="1459"/>
      <c r="F244" s="1462"/>
      <c r="G244" s="353"/>
      <c r="H244" s="340" t="s">
        <v>22</v>
      </c>
      <c r="I244" s="341"/>
      <c r="J244" s="341">
        <v>0</v>
      </c>
      <c r="K244" s="341"/>
      <c r="L244" s="341"/>
      <c r="M244" s="410"/>
      <c r="N244" s="341"/>
      <c r="O244" s="357">
        <f t="shared" si="95"/>
        <v>0</v>
      </c>
      <c r="P244" s="341">
        <v>0</v>
      </c>
      <c r="Q244" s="431">
        <v>0</v>
      </c>
      <c r="T244" s="418"/>
    </row>
    <row r="245" spans="3:20" ht="15" hidden="1" outlineLevel="2">
      <c r="C245" s="1464"/>
      <c r="D245" s="1464"/>
      <c r="E245" s="1459"/>
      <c r="F245" s="1462"/>
      <c r="G245" s="353"/>
      <c r="H245" s="340" t="s">
        <v>22</v>
      </c>
      <c r="I245" s="341"/>
      <c r="J245" s="341">
        <v>0</v>
      </c>
      <c r="K245" s="341"/>
      <c r="L245" s="341"/>
      <c r="M245" s="410"/>
      <c r="N245" s="341"/>
      <c r="O245" s="357">
        <f t="shared" si="95"/>
        <v>0</v>
      </c>
      <c r="P245" s="341">
        <v>0</v>
      </c>
      <c r="Q245" s="431">
        <v>0</v>
      </c>
      <c r="T245" s="418"/>
    </row>
    <row r="246" spans="3:20" ht="15" hidden="1" outlineLevel="2">
      <c r="C246" s="1464"/>
      <c r="D246" s="1464"/>
      <c r="E246" s="1459"/>
      <c r="F246" s="1462"/>
      <c r="G246" s="353"/>
      <c r="H246" s="340" t="s">
        <v>22</v>
      </c>
      <c r="I246" s="341"/>
      <c r="J246" s="341">
        <v>0</v>
      </c>
      <c r="K246" s="341"/>
      <c r="L246" s="341"/>
      <c r="M246" s="410"/>
      <c r="N246" s="341"/>
      <c r="O246" s="357">
        <f t="shared" si="95"/>
        <v>0</v>
      </c>
      <c r="P246" s="341">
        <v>0</v>
      </c>
      <c r="Q246" s="431">
        <v>0</v>
      </c>
      <c r="T246" s="418"/>
    </row>
    <row r="247" spans="3:20" ht="15" hidden="1" outlineLevel="2">
      <c r="C247" s="1464"/>
      <c r="D247" s="1464"/>
      <c r="E247" s="1459"/>
      <c r="F247" s="1462"/>
      <c r="G247" s="353"/>
      <c r="H247" s="340" t="s">
        <v>22</v>
      </c>
      <c r="I247" s="341"/>
      <c r="J247" s="341">
        <v>0</v>
      </c>
      <c r="K247" s="341"/>
      <c r="L247" s="341"/>
      <c r="M247" s="410"/>
      <c r="N247" s="341"/>
      <c r="O247" s="357">
        <f t="shared" si="95"/>
        <v>0</v>
      </c>
      <c r="P247" s="341">
        <v>0</v>
      </c>
      <c r="Q247" s="431">
        <v>0</v>
      </c>
      <c r="T247" s="418"/>
    </row>
    <row r="248" spans="3:20" ht="15" hidden="1" outlineLevel="2">
      <c r="C248" s="1464"/>
      <c r="D248" s="1464"/>
      <c r="E248" s="1459"/>
      <c r="F248" s="1462"/>
      <c r="G248" s="353"/>
      <c r="H248" s="340" t="s">
        <v>22</v>
      </c>
      <c r="I248" s="341"/>
      <c r="J248" s="341">
        <v>0</v>
      </c>
      <c r="K248" s="341"/>
      <c r="L248" s="341"/>
      <c r="M248" s="410"/>
      <c r="N248" s="341"/>
      <c r="O248" s="357">
        <f t="shared" si="95"/>
        <v>0</v>
      </c>
      <c r="P248" s="341">
        <v>0</v>
      </c>
      <c r="Q248" s="431">
        <v>0</v>
      </c>
      <c r="T248" s="418"/>
    </row>
    <row r="249" spans="3:20" ht="15" hidden="1" outlineLevel="2">
      <c r="C249" s="1464"/>
      <c r="D249" s="1464"/>
      <c r="E249" s="1459"/>
      <c r="F249" s="1462"/>
      <c r="G249" s="353"/>
      <c r="H249" s="340" t="s">
        <v>22</v>
      </c>
      <c r="I249" s="341"/>
      <c r="J249" s="341">
        <v>0</v>
      </c>
      <c r="K249" s="341"/>
      <c r="L249" s="341"/>
      <c r="M249" s="410"/>
      <c r="N249" s="341"/>
      <c r="O249" s="357">
        <f t="shared" si="95"/>
        <v>0</v>
      </c>
      <c r="P249" s="341">
        <v>0</v>
      </c>
      <c r="Q249" s="431">
        <v>0</v>
      </c>
      <c r="T249" s="418"/>
    </row>
    <row r="250" spans="3:20" ht="15" hidden="1" outlineLevel="2">
      <c r="C250" s="1464"/>
      <c r="D250" s="1464"/>
      <c r="E250" s="1459"/>
      <c r="F250" s="1462"/>
      <c r="G250" s="353"/>
      <c r="H250" s="340" t="s">
        <v>22</v>
      </c>
      <c r="I250" s="341"/>
      <c r="J250" s="341">
        <v>0</v>
      </c>
      <c r="K250" s="341"/>
      <c r="L250" s="341"/>
      <c r="M250" s="410"/>
      <c r="N250" s="341"/>
      <c r="O250" s="357">
        <f t="shared" si="95"/>
        <v>0</v>
      </c>
      <c r="P250" s="341">
        <v>0</v>
      </c>
      <c r="Q250" s="431">
        <v>0</v>
      </c>
      <c r="T250" s="418"/>
    </row>
    <row r="251" spans="3:20" ht="15" hidden="1" outlineLevel="2">
      <c r="C251" s="1464"/>
      <c r="D251" s="1464"/>
      <c r="E251" s="1459"/>
      <c r="F251" s="1462"/>
      <c r="G251" s="353"/>
      <c r="H251" s="340" t="s">
        <v>22</v>
      </c>
      <c r="I251" s="341"/>
      <c r="J251" s="341">
        <v>0</v>
      </c>
      <c r="K251" s="341"/>
      <c r="L251" s="341"/>
      <c r="M251" s="410"/>
      <c r="N251" s="341"/>
      <c r="O251" s="357">
        <f t="shared" si="95"/>
        <v>0</v>
      </c>
      <c r="P251" s="341">
        <v>0</v>
      </c>
      <c r="Q251" s="431">
        <v>0</v>
      </c>
      <c r="T251" s="418"/>
    </row>
    <row r="252" spans="3:20" ht="15" hidden="1" outlineLevel="2">
      <c r="C252" s="1464"/>
      <c r="D252" s="1464"/>
      <c r="E252" s="1459"/>
      <c r="F252" s="1462"/>
      <c r="G252" s="353"/>
      <c r="H252" s="340" t="s">
        <v>22</v>
      </c>
      <c r="I252" s="341"/>
      <c r="J252" s="341">
        <v>0</v>
      </c>
      <c r="K252" s="341"/>
      <c r="L252" s="341"/>
      <c r="M252" s="410"/>
      <c r="N252" s="341"/>
      <c r="O252" s="357">
        <f t="shared" si="95"/>
        <v>0</v>
      </c>
      <c r="P252" s="341">
        <v>0</v>
      </c>
      <c r="Q252" s="431">
        <v>0</v>
      </c>
      <c r="T252" s="418"/>
    </row>
    <row r="253" spans="3:20" ht="15" hidden="1" outlineLevel="2">
      <c r="C253" s="1464"/>
      <c r="D253" s="1464"/>
      <c r="E253" s="1459"/>
      <c r="F253" s="1462"/>
      <c r="G253" s="353"/>
      <c r="H253" s="340" t="s">
        <v>22</v>
      </c>
      <c r="I253" s="341"/>
      <c r="J253" s="341">
        <v>0</v>
      </c>
      <c r="K253" s="341"/>
      <c r="L253" s="341"/>
      <c r="M253" s="410"/>
      <c r="N253" s="341"/>
      <c r="O253" s="357">
        <f t="shared" si="95"/>
        <v>0</v>
      </c>
      <c r="P253" s="341">
        <v>0</v>
      </c>
      <c r="Q253" s="431">
        <v>0</v>
      </c>
      <c r="T253" s="418"/>
    </row>
    <row r="254" spans="3:20" ht="15" hidden="1" outlineLevel="2">
      <c r="C254" s="1464"/>
      <c r="D254" s="1464"/>
      <c r="E254" s="1459"/>
      <c r="F254" s="1462"/>
      <c r="G254" s="353"/>
      <c r="H254" s="340" t="s">
        <v>22</v>
      </c>
      <c r="I254" s="341"/>
      <c r="J254" s="341">
        <v>0</v>
      </c>
      <c r="K254" s="341"/>
      <c r="L254" s="341"/>
      <c r="M254" s="410"/>
      <c r="N254" s="341"/>
      <c r="O254" s="357">
        <f t="shared" si="95"/>
        <v>0</v>
      </c>
      <c r="P254" s="341">
        <v>0</v>
      </c>
      <c r="Q254" s="431">
        <v>0</v>
      </c>
      <c r="T254" s="418"/>
    </row>
    <row r="255" spans="3:20" ht="15" hidden="1" outlineLevel="2">
      <c r="C255" s="1464"/>
      <c r="D255" s="1464"/>
      <c r="E255" s="1459"/>
      <c r="F255" s="1462"/>
      <c r="G255" s="353"/>
      <c r="H255" s="340" t="s">
        <v>22</v>
      </c>
      <c r="I255" s="341"/>
      <c r="J255" s="341">
        <v>0</v>
      </c>
      <c r="K255" s="341"/>
      <c r="L255" s="341"/>
      <c r="M255" s="410"/>
      <c r="N255" s="341"/>
      <c r="O255" s="357">
        <f t="shared" si="95"/>
        <v>0</v>
      </c>
      <c r="P255" s="341">
        <v>0</v>
      </c>
      <c r="Q255" s="431">
        <v>0</v>
      </c>
      <c r="T255" s="418"/>
    </row>
    <row r="256" spans="3:20" ht="15" hidden="1" outlineLevel="2">
      <c r="C256" s="1464"/>
      <c r="D256" s="1464"/>
      <c r="E256" s="1459"/>
      <c r="F256" s="1462"/>
      <c r="G256" s="1454" t="s">
        <v>44</v>
      </c>
      <c r="H256" s="1455"/>
      <c r="I256" s="365">
        <f>SUM(I237:I255)</f>
        <v>0</v>
      </c>
      <c r="J256" s="365">
        <f t="shared" ref="J256:K256" si="103">SUM(J237:J255)</f>
        <v>0</v>
      </c>
      <c r="K256" s="365">
        <f t="shared" si="103"/>
        <v>0</v>
      </c>
      <c r="L256" s="365">
        <f t="shared" ref="L256" si="104">SUM(L237:L255)</f>
        <v>0</v>
      </c>
      <c r="M256" s="366" t="s">
        <v>43</v>
      </c>
      <c r="N256" s="365">
        <f t="shared" ref="N256" si="105">SUM(N237:N255)</f>
        <v>0</v>
      </c>
      <c r="O256" s="361">
        <f t="shared" ref="O256:O319" si="106">IF(N256=0,0,N256/J256)</f>
        <v>0</v>
      </c>
      <c r="P256" s="365">
        <f t="shared" ref="P256:Q256" si="107">SUM(P237:P255)</f>
        <v>0</v>
      </c>
      <c r="Q256" s="436">
        <f t="shared" si="107"/>
        <v>0</v>
      </c>
      <c r="T256" s="418"/>
    </row>
    <row r="257" spans="3:26" ht="15" hidden="1" outlineLevel="2">
      <c r="C257" s="1464"/>
      <c r="D257" s="1464"/>
      <c r="E257" s="1459"/>
      <c r="F257" s="1462"/>
      <c r="G257" s="350"/>
      <c r="H257" s="335" t="s">
        <v>4</v>
      </c>
      <c r="I257" s="336">
        <f>I223</f>
        <v>0</v>
      </c>
      <c r="J257" s="336">
        <f>J223</f>
        <v>0</v>
      </c>
      <c r="K257" s="336">
        <f>K223</f>
        <v>0</v>
      </c>
      <c r="L257" s="336">
        <f>L223</f>
        <v>0</v>
      </c>
      <c r="M257" s="337" t="s">
        <v>49</v>
      </c>
      <c r="N257" s="336">
        <f>N223</f>
        <v>0</v>
      </c>
      <c r="O257" s="338">
        <f t="shared" si="106"/>
        <v>0</v>
      </c>
      <c r="P257" s="336">
        <f>P223</f>
        <v>0</v>
      </c>
      <c r="Q257" s="430">
        <f>Q223</f>
        <v>0</v>
      </c>
      <c r="T257" s="418"/>
    </row>
    <row r="258" spans="3:26" ht="15" hidden="1" outlineLevel="2">
      <c r="C258" s="1464"/>
      <c r="D258" s="1464"/>
      <c r="E258" s="1459"/>
      <c r="F258" s="1462"/>
      <c r="G258" s="350"/>
      <c r="H258" s="335" t="s">
        <v>29</v>
      </c>
      <c r="I258" s="336">
        <f>I236</f>
        <v>0</v>
      </c>
      <c r="J258" s="336">
        <f t="shared" ref="J258:N258" si="108">J236</f>
        <v>0</v>
      </c>
      <c r="K258" s="336">
        <f t="shared" si="108"/>
        <v>0</v>
      </c>
      <c r="L258" s="336">
        <f t="shared" ref="L258" si="109">L236</f>
        <v>0</v>
      </c>
      <c r="M258" s="336" t="str">
        <f t="shared" si="108"/>
        <v>Cash Security</v>
      </c>
      <c r="N258" s="336">
        <f t="shared" si="108"/>
        <v>0</v>
      </c>
      <c r="O258" s="338">
        <f t="shared" si="106"/>
        <v>0</v>
      </c>
      <c r="P258" s="336">
        <f t="shared" ref="P258:Q258" si="110">P236</f>
        <v>0</v>
      </c>
      <c r="Q258" s="430">
        <f t="shared" si="110"/>
        <v>0</v>
      </c>
      <c r="T258" s="418"/>
    </row>
    <row r="259" spans="3:26" ht="15" hidden="1" outlineLevel="2">
      <c r="C259" s="1464"/>
      <c r="D259" s="1464"/>
      <c r="E259" s="1459"/>
      <c r="F259" s="1462"/>
      <c r="G259" s="350"/>
      <c r="H259" s="340" t="s">
        <v>22</v>
      </c>
      <c r="I259" s="336">
        <f>I256</f>
        <v>0</v>
      </c>
      <c r="J259" s="336">
        <f t="shared" ref="J259:N259" si="111">J256</f>
        <v>0</v>
      </c>
      <c r="K259" s="336">
        <f t="shared" si="111"/>
        <v>0</v>
      </c>
      <c r="L259" s="336">
        <f t="shared" ref="L259" si="112">L256</f>
        <v>0</v>
      </c>
      <c r="M259" s="336" t="str">
        <f t="shared" si="111"/>
        <v>Cash Security</v>
      </c>
      <c r="N259" s="336">
        <f t="shared" si="111"/>
        <v>0</v>
      </c>
      <c r="O259" s="338">
        <f t="shared" si="106"/>
        <v>0</v>
      </c>
      <c r="P259" s="336">
        <f t="shared" ref="P259:Q259" si="113">P256</f>
        <v>0</v>
      </c>
      <c r="Q259" s="430">
        <f t="shared" si="113"/>
        <v>0</v>
      </c>
      <c r="T259" s="418"/>
    </row>
    <row r="260" spans="3:26" ht="15" hidden="1" outlineLevel="1" collapsed="1">
      <c r="C260" s="1464"/>
      <c r="D260" s="1464"/>
      <c r="E260" s="1459"/>
      <c r="F260" s="1463"/>
      <c r="G260" s="1454" t="s">
        <v>177</v>
      </c>
      <c r="H260" s="1455"/>
      <c r="I260" s="369">
        <f>(I257/usdrate)+(I258*eurrate)+I259</f>
        <v>0</v>
      </c>
      <c r="J260" s="369">
        <f>(J257/usdrate)+(J258*eurrate)+J259</f>
        <v>0</v>
      </c>
      <c r="K260" s="369">
        <f>(K257/usdrate)+(K258*eurrate)+K259</f>
        <v>0</v>
      </c>
      <c r="L260" s="369">
        <f>(L257/usdrate)+(L258*eurrate)+L259</f>
        <v>0</v>
      </c>
      <c r="M260" s="360" t="s">
        <v>178</v>
      </c>
      <c r="N260" s="369">
        <f>(N257/usdrate)+(N258*eurrate)+N259</f>
        <v>0</v>
      </c>
      <c r="O260" s="367">
        <f t="shared" si="106"/>
        <v>0</v>
      </c>
      <c r="P260" s="369">
        <f>(P257/usdrate)+(P258*eurrate)+P259</f>
        <v>0</v>
      </c>
      <c r="Q260" s="437">
        <f>(Q257/usdrate)+(Q258*eurrate)+Q259</f>
        <v>0</v>
      </c>
      <c r="T260" s="418"/>
    </row>
    <row r="261" spans="3:26" ht="15" hidden="1" outlineLevel="2">
      <c r="C261" s="1464"/>
      <c r="D261" s="1464"/>
      <c r="E261" s="1459"/>
      <c r="F261" s="1461" t="s">
        <v>169</v>
      </c>
      <c r="G261" s="353"/>
      <c r="H261" s="340" t="s">
        <v>4</v>
      </c>
      <c r="I261" s="341"/>
      <c r="J261" s="341"/>
      <c r="K261" s="370"/>
      <c r="L261" s="370"/>
      <c r="M261" s="337"/>
      <c r="N261" s="336"/>
      <c r="O261" s="338">
        <f t="shared" si="106"/>
        <v>0</v>
      </c>
      <c r="P261" s="341"/>
      <c r="Q261" s="431"/>
      <c r="R261" s="28">
        <f t="shared" ref="R261:R293" si="114">IF(H261="USD",$B$4,IF(H261="ILS",$B$2,IF(H261="JOD",$B$3,"")))</f>
        <v>0.05</v>
      </c>
      <c r="S261" s="17">
        <f t="shared" ref="S261:S270" si="115">R261*J261</f>
        <v>0</v>
      </c>
      <c r="T261" s="419">
        <f t="shared" ref="T261:T270" si="116">R261*I261</f>
        <v>0</v>
      </c>
      <c r="U261" s="43"/>
      <c r="V261" s="44">
        <f t="shared" ref="V261:V292" si="117">U261/12</f>
        <v>0</v>
      </c>
      <c r="W261" s="35">
        <f t="shared" ref="W261" si="118">T261*V261</f>
        <v>0</v>
      </c>
      <c r="X261" s="35"/>
      <c r="Y261" s="45">
        <f t="shared" ref="Y261:Y270" si="119">I261+W261</f>
        <v>0</v>
      </c>
      <c r="Z261" s="45" t="e">
        <f t="shared" ref="Z261" si="120">Y261/U261</f>
        <v>#DIV/0!</v>
      </c>
    </row>
    <row r="262" spans="3:26" ht="15" hidden="1" outlineLevel="2">
      <c r="C262" s="1464"/>
      <c r="D262" s="1464"/>
      <c r="E262" s="1459"/>
      <c r="F262" s="1462"/>
      <c r="G262" s="343"/>
      <c r="H262" s="340" t="s">
        <v>4</v>
      </c>
      <c r="I262" s="341"/>
      <c r="J262" s="341"/>
      <c r="K262" s="341"/>
      <c r="L262" s="341"/>
      <c r="M262" s="342"/>
      <c r="N262" s="341">
        <v>0</v>
      </c>
      <c r="O262" s="338">
        <f t="shared" si="106"/>
        <v>0</v>
      </c>
      <c r="P262" s="341"/>
      <c r="Q262" s="431"/>
      <c r="R262" s="28">
        <f t="shared" si="114"/>
        <v>0.05</v>
      </c>
      <c r="S262" s="17">
        <f t="shared" si="115"/>
        <v>0</v>
      </c>
      <c r="T262" s="419">
        <f t="shared" si="116"/>
        <v>0</v>
      </c>
      <c r="U262" s="43"/>
      <c r="V262" s="44">
        <f t="shared" si="117"/>
        <v>0</v>
      </c>
      <c r="W262" s="35">
        <f t="shared" ref="W262:W292" si="121">T262*V262</f>
        <v>0</v>
      </c>
      <c r="X262" s="35"/>
      <c r="Y262" s="45">
        <f t="shared" si="119"/>
        <v>0</v>
      </c>
      <c r="Z262" s="45" t="e">
        <f t="shared" ref="Z262:Z292" si="122">Y262/U262</f>
        <v>#DIV/0!</v>
      </c>
    </row>
    <row r="263" spans="3:26" ht="15" hidden="1" outlineLevel="2">
      <c r="C263" s="1464"/>
      <c r="D263" s="1464"/>
      <c r="E263" s="1459"/>
      <c r="F263" s="1462"/>
      <c r="G263" s="343"/>
      <c r="H263" s="340" t="s">
        <v>4</v>
      </c>
      <c r="I263" s="341"/>
      <c r="J263" s="341"/>
      <c r="K263" s="341"/>
      <c r="L263" s="341"/>
      <c r="M263" s="337"/>
      <c r="N263" s="341"/>
      <c r="O263" s="338">
        <f t="shared" si="106"/>
        <v>0</v>
      </c>
      <c r="P263" s="341"/>
      <c r="Q263" s="431"/>
      <c r="R263" s="28">
        <f t="shared" si="114"/>
        <v>0.05</v>
      </c>
      <c r="S263" s="17">
        <f t="shared" si="115"/>
        <v>0</v>
      </c>
      <c r="T263" s="419">
        <f t="shared" si="116"/>
        <v>0</v>
      </c>
      <c r="U263" s="43"/>
      <c r="V263" s="44">
        <f t="shared" si="117"/>
        <v>0</v>
      </c>
      <c r="W263" s="35">
        <f t="shared" si="121"/>
        <v>0</v>
      </c>
      <c r="X263" s="35"/>
      <c r="Y263" s="45">
        <f t="shared" si="119"/>
        <v>0</v>
      </c>
      <c r="Z263" s="45" t="e">
        <f t="shared" si="122"/>
        <v>#DIV/0!</v>
      </c>
    </row>
    <row r="264" spans="3:26" ht="15" hidden="1" outlineLevel="2">
      <c r="C264" s="1464"/>
      <c r="D264" s="1464"/>
      <c r="E264" s="1459"/>
      <c r="F264" s="1462"/>
      <c r="G264" s="343"/>
      <c r="H264" s="340" t="s">
        <v>4</v>
      </c>
      <c r="I264" s="341"/>
      <c r="J264" s="341"/>
      <c r="K264" s="341"/>
      <c r="L264" s="341"/>
      <c r="M264" s="342"/>
      <c r="N264" s="341"/>
      <c r="O264" s="338">
        <f t="shared" si="106"/>
        <v>0</v>
      </c>
      <c r="P264" s="341"/>
      <c r="Q264" s="431"/>
      <c r="R264" s="28">
        <f t="shared" si="114"/>
        <v>0.05</v>
      </c>
      <c r="S264" s="17">
        <f t="shared" si="115"/>
        <v>0</v>
      </c>
      <c r="T264" s="419">
        <f t="shared" si="116"/>
        <v>0</v>
      </c>
      <c r="U264" s="43"/>
      <c r="V264" s="44">
        <f t="shared" si="117"/>
        <v>0</v>
      </c>
      <c r="W264" s="35">
        <f t="shared" si="121"/>
        <v>0</v>
      </c>
      <c r="X264" s="35"/>
      <c r="Y264" s="45">
        <f t="shared" si="119"/>
        <v>0</v>
      </c>
      <c r="Z264" s="45" t="e">
        <f t="shared" si="122"/>
        <v>#DIV/0!</v>
      </c>
    </row>
    <row r="265" spans="3:26" ht="15" hidden="1" outlineLevel="2">
      <c r="C265" s="1464"/>
      <c r="D265" s="1464"/>
      <c r="E265" s="1459"/>
      <c r="F265" s="1462"/>
      <c r="G265" s="343"/>
      <c r="H265" s="340" t="s">
        <v>4</v>
      </c>
      <c r="I265" s="341"/>
      <c r="J265" s="341"/>
      <c r="K265" s="341"/>
      <c r="L265" s="341"/>
      <c r="M265" s="342"/>
      <c r="N265" s="341"/>
      <c r="O265" s="338">
        <f t="shared" si="106"/>
        <v>0</v>
      </c>
      <c r="P265" s="341"/>
      <c r="Q265" s="431"/>
      <c r="R265" s="28">
        <f t="shared" si="114"/>
        <v>0.05</v>
      </c>
      <c r="S265" s="17">
        <f t="shared" si="115"/>
        <v>0</v>
      </c>
      <c r="T265" s="419">
        <f t="shared" si="116"/>
        <v>0</v>
      </c>
      <c r="U265" s="43"/>
      <c r="V265" s="44">
        <f t="shared" si="117"/>
        <v>0</v>
      </c>
      <c r="W265" s="35">
        <f t="shared" si="121"/>
        <v>0</v>
      </c>
      <c r="X265" s="35"/>
      <c r="Y265" s="45">
        <f t="shared" si="119"/>
        <v>0</v>
      </c>
      <c r="Z265" s="45" t="e">
        <f t="shared" si="122"/>
        <v>#DIV/0!</v>
      </c>
    </row>
    <row r="266" spans="3:26" ht="15" hidden="1" outlineLevel="2">
      <c r="C266" s="1464"/>
      <c r="D266" s="1464"/>
      <c r="E266" s="1459"/>
      <c r="F266" s="1462"/>
      <c r="G266" s="343"/>
      <c r="H266" s="340" t="s">
        <v>4</v>
      </c>
      <c r="I266" s="341"/>
      <c r="J266" s="341"/>
      <c r="K266" s="341"/>
      <c r="L266" s="341"/>
      <c r="M266" s="342"/>
      <c r="N266" s="341"/>
      <c r="O266" s="338">
        <f t="shared" si="106"/>
        <v>0</v>
      </c>
      <c r="P266" s="341"/>
      <c r="Q266" s="431"/>
      <c r="R266" s="28">
        <f t="shared" si="114"/>
        <v>0.05</v>
      </c>
      <c r="S266" s="17">
        <f t="shared" si="115"/>
        <v>0</v>
      </c>
      <c r="T266" s="419">
        <f t="shared" si="116"/>
        <v>0</v>
      </c>
      <c r="U266" s="43"/>
      <c r="V266" s="44">
        <f t="shared" si="117"/>
        <v>0</v>
      </c>
      <c r="W266" s="35">
        <f t="shared" si="121"/>
        <v>0</v>
      </c>
      <c r="X266" s="35"/>
      <c r="Y266" s="45">
        <f t="shared" si="119"/>
        <v>0</v>
      </c>
      <c r="Z266" s="45" t="e">
        <f t="shared" si="122"/>
        <v>#DIV/0!</v>
      </c>
    </row>
    <row r="267" spans="3:26" ht="15" hidden="1" outlineLevel="2">
      <c r="C267" s="1464"/>
      <c r="D267" s="1464"/>
      <c r="E267" s="1459"/>
      <c r="F267" s="1462"/>
      <c r="G267" s="343"/>
      <c r="H267" s="340" t="s">
        <v>4</v>
      </c>
      <c r="I267" s="341"/>
      <c r="J267" s="341"/>
      <c r="K267" s="341"/>
      <c r="L267" s="341"/>
      <c r="M267" s="342"/>
      <c r="N267" s="341"/>
      <c r="O267" s="338">
        <f t="shared" si="106"/>
        <v>0</v>
      </c>
      <c r="P267" s="341"/>
      <c r="Q267" s="431"/>
      <c r="R267" s="28">
        <f t="shared" si="114"/>
        <v>0.05</v>
      </c>
      <c r="S267" s="17">
        <f t="shared" si="115"/>
        <v>0</v>
      </c>
      <c r="T267" s="419">
        <f t="shared" si="116"/>
        <v>0</v>
      </c>
      <c r="U267" s="43"/>
      <c r="V267" s="44">
        <f t="shared" si="117"/>
        <v>0</v>
      </c>
      <c r="W267" s="35">
        <f t="shared" si="121"/>
        <v>0</v>
      </c>
      <c r="X267" s="35"/>
      <c r="Y267" s="45">
        <f t="shared" si="119"/>
        <v>0</v>
      </c>
      <c r="Z267" s="45" t="e">
        <f t="shared" si="122"/>
        <v>#DIV/0!</v>
      </c>
    </row>
    <row r="268" spans="3:26" ht="15" hidden="1" outlineLevel="2">
      <c r="C268" s="1464"/>
      <c r="D268" s="1464"/>
      <c r="E268" s="1459"/>
      <c r="F268" s="1462"/>
      <c r="G268" s="343"/>
      <c r="H268" s="340" t="s">
        <v>4</v>
      </c>
      <c r="I268" s="341"/>
      <c r="J268" s="341"/>
      <c r="K268" s="341"/>
      <c r="L268" s="341"/>
      <c r="M268" s="342"/>
      <c r="N268" s="341"/>
      <c r="O268" s="338">
        <f t="shared" si="106"/>
        <v>0</v>
      </c>
      <c r="P268" s="341"/>
      <c r="Q268" s="431"/>
      <c r="R268" s="28">
        <f t="shared" si="114"/>
        <v>0.05</v>
      </c>
      <c r="S268" s="17">
        <f t="shared" si="115"/>
        <v>0</v>
      </c>
      <c r="T268" s="419">
        <f t="shared" si="116"/>
        <v>0</v>
      </c>
      <c r="U268" s="43"/>
      <c r="V268" s="44">
        <f t="shared" si="117"/>
        <v>0</v>
      </c>
      <c r="W268" s="35">
        <f t="shared" si="121"/>
        <v>0</v>
      </c>
      <c r="X268" s="35"/>
      <c r="Y268" s="45">
        <f t="shared" si="119"/>
        <v>0</v>
      </c>
      <c r="Z268" s="45" t="e">
        <f t="shared" si="122"/>
        <v>#DIV/0!</v>
      </c>
    </row>
    <row r="269" spans="3:26" ht="15" hidden="1" outlineLevel="2">
      <c r="C269" s="1464"/>
      <c r="D269" s="1464"/>
      <c r="E269" s="1459"/>
      <c r="F269" s="1462"/>
      <c r="G269" s="344"/>
      <c r="H269" s="340" t="s">
        <v>4</v>
      </c>
      <c r="I269" s="345"/>
      <c r="J269" s="345"/>
      <c r="K269" s="345"/>
      <c r="L269" s="345"/>
      <c r="M269" s="346"/>
      <c r="N269" s="345"/>
      <c r="O269" s="338">
        <f t="shared" si="106"/>
        <v>0</v>
      </c>
      <c r="P269" s="345"/>
      <c r="Q269" s="432"/>
      <c r="R269" s="28">
        <f t="shared" si="114"/>
        <v>0.05</v>
      </c>
      <c r="S269" s="17">
        <f t="shared" si="115"/>
        <v>0</v>
      </c>
      <c r="T269" s="419">
        <f t="shared" si="116"/>
        <v>0</v>
      </c>
      <c r="U269" s="43"/>
      <c r="V269" s="44">
        <f t="shared" si="117"/>
        <v>0</v>
      </c>
      <c r="W269" s="35">
        <f t="shared" si="121"/>
        <v>0</v>
      </c>
      <c r="X269" s="35"/>
      <c r="Y269" s="45">
        <f t="shared" si="119"/>
        <v>0</v>
      </c>
      <c r="Z269" s="45" t="e">
        <f t="shared" si="122"/>
        <v>#DIV/0!</v>
      </c>
    </row>
    <row r="270" spans="3:26" ht="15" hidden="1" outlineLevel="2">
      <c r="C270" s="1464"/>
      <c r="D270" s="1464"/>
      <c r="E270" s="1459"/>
      <c r="F270" s="1462"/>
      <c r="G270" s="343"/>
      <c r="H270" s="340" t="s">
        <v>4</v>
      </c>
      <c r="I270" s="341"/>
      <c r="J270" s="341"/>
      <c r="K270" s="341"/>
      <c r="L270" s="341"/>
      <c r="M270" s="342"/>
      <c r="N270" s="341"/>
      <c r="O270" s="338">
        <f t="shared" si="106"/>
        <v>0</v>
      </c>
      <c r="P270" s="341"/>
      <c r="Q270" s="431"/>
      <c r="R270" s="28">
        <f t="shared" si="114"/>
        <v>0.05</v>
      </c>
      <c r="S270" s="17">
        <f t="shared" si="115"/>
        <v>0</v>
      </c>
      <c r="T270" s="419">
        <f t="shared" si="116"/>
        <v>0</v>
      </c>
      <c r="U270" s="43"/>
      <c r="V270" s="44">
        <f t="shared" si="117"/>
        <v>0</v>
      </c>
      <c r="W270" s="35">
        <f t="shared" si="121"/>
        <v>0</v>
      </c>
      <c r="X270" s="35"/>
      <c r="Y270" s="45">
        <f t="shared" si="119"/>
        <v>0</v>
      </c>
      <c r="Z270" s="45" t="e">
        <f t="shared" si="122"/>
        <v>#DIV/0!</v>
      </c>
    </row>
    <row r="271" spans="3:26" ht="15" hidden="1" outlineLevel="2">
      <c r="C271" s="1464"/>
      <c r="D271" s="1464"/>
      <c r="E271" s="1459"/>
      <c r="F271" s="1462"/>
      <c r="G271" s="1454" t="s">
        <v>45</v>
      </c>
      <c r="H271" s="1455"/>
      <c r="I271" s="371">
        <f>SUM(I261:I270)</f>
        <v>0</v>
      </c>
      <c r="J271" s="371">
        <f t="shared" ref="J271" si="123">SUM(J261:J270)</f>
        <v>0</v>
      </c>
      <c r="K271" s="371">
        <f>SUMIFS(K261:K270,K261:K270,"&lt;&gt;",K261:K270,"&lt;"&amp;99^99)</f>
        <v>0</v>
      </c>
      <c r="L271" s="371">
        <f>SUMIFS(L261:L270,L261:L270,"&lt;&gt;",L261:L270,"&lt;"&amp;99^99)</f>
        <v>0</v>
      </c>
      <c r="M271" s="359"/>
      <c r="N271" s="371">
        <f>N261</f>
        <v>0</v>
      </c>
      <c r="O271" s="367">
        <f t="shared" si="106"/>
        <v>0</v>
      </c>
      <c r="P271" s="371">
        <f t="shared" ref="P271:Q271" si="124">SUM(P261:P270)</f>
        <v>0</v>
      </c>
      <c r="Q271" s="438">
        <f t="shared" si="124"/>
        <v>0</v>
      </c>
      <c r="R271" s="37" t="str">
        <f t="shared" si="114"/>
        <v/>
      </c>
      <c r="S271" s="37">
        <f>SUM(S261:S270)</f>
        <v>0</v>
      </c>
      <c r="T271" s="420">
        <f t="shared" ref="T271" si="125">SUM(T261:T270)</f>
        <v>0</v>
      </c>
      <c r="U271" s="37"/>
      <c r="V271" s="37"/>
      <c r="W271" s="37">
        <f t="shared" ref="W271" si="126">SUM(W261:W270)</f>
        <v>0</v>
      </c>
      <c r="X271" s="37"/>
      <c r="Y271" s="37">
        <f t="shared" ref="Y271" si="127">SUM(Y261:Y270)</f>
        <v>0</v>
      </c>
      <c r="Z271" s="37">
        <f>SUMIFS(Z261:Z270,Y261:Y270,"&lt;&gt;",Z261:Z270,"&lt;"&amp;99^99)</f>
        <v>0</v>
      </c>
    </row>
    <row r="272" spans="3:26" ht="15" hidden="1" outlineLevel="2">
      <c r="C272" s="1464"/>
      <c r="D272" s="1464"/>
      <c r="E272" s="1459"/>
      <c r="F272" s="1462"/>
      <c r="G272" s="350"/>
      <c r="H272" s="335" t="s">
        <v>28</v>
      </c>
      <c r="I272" s="336"/>
      <c r="J272" s="336"/>
      <c r="K272" s="336"/>
      <c r="L272" s="336"/>
      <c r="M272" s="337"/>
      <c r="N272" s="336"/>
      <c r="O272" s="338">
        <f t="shared" si="106"/>
        <v>0</v>
      </c>
      <c r="P272" s="336"/>
      <c r="Q272" s="430"/>
      <c r="R272" s="28">
        <f t="shared" si="114"/>
        <v>3.5000000000000003E-2</v>
      </c>
      <c r="S272" s="17">
        <f t="shared" ref="S272:S281" si="128">R272*J272</f>
        <v>0</v>
      </c>
      <c r="T272" s="419">
        <f t="shared" ref="T272:T281" si="129">R272*I272</f>
        <v>0</v>
      </c>
      <c r="U272" s="43"/>
      <c r="V272" s="44">
        <f t="shared" si="117"/>
        <v>0</v>
      </c>
      <c r="W272" s="35">
        <f t="shared" si="121"/>
        <v>0</v>
      </c>
      <c r="X272" s="35"/>
      <c r="Y272" s="45">
        <f t="shared" ref="Y272:Y281" si="130">I272+W272</f>
        <v>0</v>
      </c>
      <c r="Z272" s="45" t="e">
        <f t="shared" si="122"/>
        <v>#DIV/0!</v>
      </c>
    </row>
    <row r="273" spans="3:26" ht="15" hidden="1" outlineLevel="2">
      <c r="C273" s="1464"/>
      <c r="D273" s="1464"/>
      <c r="E273" s="1459"/>
      <c r="F273" s="1462"/>
      <c r="G273" s="343"/>
      <c r="H273" s="335" t="s">
        <v>28</v>
      </c>
      <c r="I273" s="341"/>
      <c r="J273" s="341"/>
      <c r="K273" s="341"/>
      <c r="L273" s="341"/>
      <c r="M273" s="342"/>
      <c r="N273" s="341"/>
      <c r="O273" s="338">
        <f t="shared" si="106"/>
        <v>0</v>
      </c>
      <c r="P273" s="341"/>
      <c r="Q273" s="431"/>
      <c r="R273" s="28">
        <f t="shared" si="114"/>
        <v>3.5000000000000003E-2</v>
      </c>
      <c r="S273" s="17">
        <f t="shared" si="128"/>
        <v>0</v>
      </c>
      <c r="T273" s="419">
        <f t="shared" si="129"/>
        <v>0</v>
      </c>
      <c r="U273" s="43"/>
      <c r="V273" s="44">
        <f t="shared" si="117"/>
        <v>0</v>
      </c>
      <c r="W273" s="35">
        <f t="shared" si="121"/>
        <v>0</v>
      </c>
      <c r="X273" s="35"/>
      <c r="Y273" s="45">
        <f t="shared" si="130"/>
        <v>0</v>
      </c>
      <c r="Z273" s="45" t="e">
        <f t="shared" si="122"/>
        <v>#DIV/0!</v>
      </c>
    </row>
    <row r="274" spans="3:26" ht="15" hidden="1" outlineLevel="2">
      <c r="C274" s="1464"/>
      <c r="D274" s="1464"/>
      <c r="E274" s="1459"/>
      <c r="F274" s="1462"/>
      <c r="G274" s="343"/>
      <c r="H274" s="335" t="s">
        <v>28</v>
      </c>
      <c r="I274" s="341"/>
      <c r="J274" s="341"/>
      <c r="K274" s="341"/>
      <c r="L274" s="341"/>
      <c r="M274" s="337"/>
      <c r="N274" s="341"/>
      <c r="O274" s="338">
        <f t="shared" si="106"/>
        <v>0</v>
      </c>
      <c r="P274" s="341"/>
      <c r="Q274" s="431"/>
      <c r="R274" s="28">
        <f t="shared" si="114"/>
        <v>3.5000000000000003E-2</v>
      </c>
      <c r="S274" s="17">
        <f t="shared" si="128"/>
        <v>0</v>
      </c>
      <c r="T274" s="419">
        <f t="shared" si="129"/>
        <v>0</v>
      </c>
      <c r="U274" s="43"/>
      <c r="V274" s="44">
        <f t="shared" si="117"/>
        <v>0</v>
      </c>
      <c r="W274" s="35">
        <f t="shared" si="121"/>
        <v>0</v>
      </c>
      <c r="X274" s="35"/>
      <c r="Y274" s="45">
        <f t="shared" si="130"/>
        <v>0</v>
      </c>
      <c r="Z274" s="45" t="e">
        <f t="shared" si="122"/>
        <v>#DIV/0!</v>
      </c>
    </row>
    <row r="275" spans="3:26" ht="15" hidden="1" outlineLevel="2">
      <c r="C275" s="1464"/>
      <c r="D275" s="1464"/>
      <c r="E275" s="1459"/>
      <c r="F275" s="1462"/>
      <c r="G275" s="343"/>
      <c r="H275" s="335" t="s">
        <v>28</v>
      </c>
      <c r="I275" s="341"/>
      <c r="J275" s="341"/>
      <c r="K275" s="341"/>
      <c r="L275" s="341"/>
      <c r="M275" s="342"/>
      <c r="N275" s="341"/>
      <c r="O275" s="338">
        <f t="shared" si="106"/>
        <v>0</v>
      </c>
      <c r="P275" s="341"/>
      <c r="Q275" s="431"/>
      <c r="R275" s="28">
        <f t="shared" si="114"/>
        <v>3.5000000000000003E-2</v>
      </c>
      <c r="S275" s="17">
        <f t="shared" si="128"/>
        <v>0</v>
      </c>
      <c r="T275" s="419">
        <f t="shared" si="129"/>
        <v>0</v>
      </c>
      <c r="U275" s="43"/>
      <c r="V275" s="44">
        <f t="shared" si="117"/>
        <v>0</v>
      </c>
      <c r="W275" s="35">
        <f t="shared" si="121"/>
        <v>0</v>
      </c>
      <c r="X275" s="35"/>
      <c r="Y275" s="45">
        <f t="shared" si="130"/>
        <v>0</v>
      </c>
      <c r="Z275" s="45" t="e">
        <f t="shared" si="122"/>
        <v>#DIV/0!</v>
      </c>
    </row>
    <row r="276" spans="3:26" ht="15" hidden="1" outlineLevel="2">
      <c r="C276" s="1464"/>
      <c r="D276" s="1464"/>
      <c r="E276" s="1459"/>
      <c r="F276" s="1462"/>
      <c r="G276" s="343"/>
      <c r="H276" s="335" t="s">
        <v>28</v>
      </c>
      <c r="I276" s="341"/>
      <c r="J276" s="341"/>
      <c r="K276" s="341"/>
      <c r="L276" s="341"/>
      <c r="M276" s="342"/>
      <c r="N276" s="341"/>
      <c r="O276" s="338">
        <f t="shared" si="106"/>
        <v>0</v>
      </c>
      <c r="P276" s="341"/>
      <c r="Q276" s="431"/>
      <c r="R276" s="28">
        <f t="shared" si="114"/>
        <v>3.5000000000000003E-2</v>
      </c>
      <c r="S276" s="17">
        <f t="shared" si="128"/>
        <v>0</v>
      </c>
      <c r="T276" s="419">
        <f t="shared" si="129"/>
        <v>0</v>
      </c>
      <c r="U276" s="43"/>
      <c r="V276" s="44">
        <f t="shared" si="117"/>
        <v>0</v>
      </c>
      <c r="W276" s="35">
        <f t="shared" si="121"/>
        <v>0</v>
      </c>
      <c r="X276" s="35"/>
      <c r="Y276" s="45">
        <f t="shared" si="130"/>
        <v>0</v>
      </c>
      <c r="Z276" s="45" t="e">
        <f t="shared" si="122"/>
        <v>#DIV/0!</v>
      </c>
    </row>
    <row r="277" spans="3:26" ht="15" hidden="1" outlineLevel="2">
      <c r="C277" s="1464"/>
      <c r="D277" s="1464"/>
      <c r="E277" s="1459"/>
      <c r="F277" s="1462"/>
      <c r="G277" s="343"/>
      <c r="H277" s="335" t="s">
        <v>28</v>
      </c>
      <c r="I277" s="341"/>
      <c r="J277" s="341"/>
      <c r="K277" s="341"/>
      <c r="L277" s="341"/>
      <c r="M277" s="342"/>
      <c r="N277" s="341"/>
      <c r="O277" s="338">
        <f t="shared" si="106"/>
        <v>0</v>
      </c>
      <c r="P277" s="341"/>
      <c r="Q277" s="431"/>
      <c r="R277" s="28">
        <f t="shared" si="114"/>
        <v>3.5000000000000003E-2</v>
      </c>
      <c r="S277" s="17">
        <f t="shared" si="128"/>
        <v>0</v>
      </c>
      <c r="T277" s="419">
        <f t="shared" si="129"/>
        <v>0</v>
      </c>
      <c r="U277" s="43"/>
      <c r="V277" s="44">
        <f t="shared" si="117"/>
        <v>0</v>
      </c>
      <c r="W277" s="35">
        <f t="shared" si="121"/>
        <v>0</v>
      </c>
      <c r="X277" s="35"/>
      <c r="Y277" s="45">
        <f t="shared" si="130"/>
        <v>0</v>
      </c>
      <c r="Z277" s="45" t="e">
        <f t="shared" si="122"/>
        <v>#DIV/0!</v>
      </c>
    </row>
    <row r="278" spans="3:26" ht="15" hidden="1" outlineLevel="2">
      <c r="C278" s="1464"/>
      <c r="D278" s="1464"/>
      <c r="E278" s="1459"/>
      <c r="F278" s="1462"/>
      <c r="G278" s="343"/>
      <c r="H278" s="335" t="s">
        <v>28</v>
      </c>
      <c r="I278" s="341"/>
      <c r="J278" s="341"/>
      <c r="K278" s="341"/>
      <c r="L278" s="341"/>
      <c r="M278" s="342"/>
      <c r="N278" s="341"/>
      <c r="O278" s="338">
        <f t="shared" si="106"/>
        <v>0</v>
      </c>
      <c r="P278" s="341"/>
      <c r="Q278" s="431"/>
      <c r="R278" s="28">
        <f t="shared" si="114"/>
        <v>3.5000000000000003E-2</v>
      </c>
      <c r="S278" s="17">
        <f t="shared" si="128"/>
        <v>0</v>
      </c>
      <c r="T278" s="419">
        <f t="shared" si="129"/>
        <v>0</v>
      </c>
      <c r="U278" s="43"/>
      <c r="V278" s="44">
        <f t="shared" si="117"/>
        <v>0</v>
      </c>
      <c r="W278" s="35">
        <f t="shared" si="121"/>
        <v>0</v>
      </c>
      <c r="X278" s="35"/>
      <c r="Y278" s="45">
        <f t="shared" si="130"/>
        <v>0</v>
      </c>
      <c r="Z278" s="45" t="e">
        <f t="shared" si="122"/>
        <v>#DIV/0!</v>
      </c>
    </row>
    <row r="279" spans="3:26" ht="15" hidden="1" outlineLevel="2">
      <c r="C279" s="1464"/>
      <c r="D279" s="1464"/>
      <c r="E279" s="1459"/>
      <c r="F279" s="1462"/>
      <c r="G279" s="343"/>
      <c r="H279" s="335" t="s">
        <v>28</v>
      </c>
      <c r="I279" s="341"/>
      <c r="J279" s="341"/>
      <c r="K279" s="341"/>
      <c r="L279" s="341"/>
      <c r="M279" s="342"/>
      <c r="N279" s="341"/>
      <c r="O279" s="338">
        <f t="shared" si="106"/>
        <v>0</v>
      </c>
      <c r="P279" s="341"/>
      <c r="Q279" s="431"/>
      <c r="R279" s="28">
        <f t="shared" si="114"/>
        <v>3.5000000000000003E-2</v>
      </c>
      <c r="S279" s="17">
        <f t="shared" si="128"/>
        <v>0</v>
      </c>
      <c r="T279" s="419">
        <f t="shared" si="129"/>
        <v>0</v>
      </c>
      <c r="U279" s="43"/>
      <c r="V279" s="44">
        <f t="shared" si="117"/>
        <v>0</v>
      </c>
      <c r="W279" s="35">
        <f t="shared" si="121"/>
        <v>0</v>
      </c>
      <c r="X279" s="35"/>
      <c r="Y279" s="45">
        <f t="shared" si="130"/>
        <v>0</v>
      </c>
      <c r="Z279" s="45" t="e">
        <f t="shared" si="122"/>
        <v>#DIV/0!</v>
      </c>
    </row>
    <row r="280" spans="3:26" ht="15" hidden="1" outlineLevel="2">
      <c r="C280" s="1464"/>
      <c r="D280" s="1464"/>
      <c r="E280" s="1459"/>
      <c r="F280" s="1462"/>
      <c r="G280" s="344"/>
      <c r="H280" s="335" t="s">
        <v>28</v>
      </c>
      <c r="I280" s="345"/>
      <c r="J280" s="345"/>
      <c r="K280" s="345"/>
      <c r="L280" s="345"/>
      <c r="M280" s="346"/>
      <c r="N280" s="345"/>
      <c r="O280" s="338">
        <f t="shared" si="106"/>
        <v>0</v>
      </c>
      <c r="P280" s="345"/>
      <c r="Q280" s="432"/>
      <c r="R280" s="28">
        <f t="shared" si="114"/>
        <v>3.5000000000000003E-2</v>
      </c>
      <c r="S280" s="17">
        <f t="shared" si="128"/>
        <v>0</v>
      </c>
      <c r="T280" s="419">
        <f t="shared" si="129"/>
        <v>0</v>
      </c>
      <c r="U280" s="43"/>
      <c r="V280" s="44">
        <f t="shared" si="117"/>
        <v>0</v>
      </c>
      <c r="W280" s="35">
        <f t="shared" si="121"/>
        <v>0</v>
      </c>
      <c r="X280" s="35"/>
      <c r="Y280" s="45">
        <f t="shared" si="130"/>
        <v>0</v>
      </c>
      <c r="Z280" s="45" t="e">
        <f t="shared" si="122"/>
        <v>#DIV/0!</v>
      </c>
    </row>
    <row r="281" spans="3:26" ht="15" hidden="1" outlineLevel="2">
      <c r="C281" s="1464"/>
      <c r="D281" s="1464"/>
      <c r="E281" s="1459"/>
      <c r="F281" s="1462"/>
      <c r="G281" s="343"/>
      <c r="H281" s="335" t="s">
        <v>28</v>
      </c>
      <c r="I281" s="341"/>
      <c r="J281" s="341"/>
      <c r="K281" s="341"/>
      <c r="L281" s="341"/>
      <c r="M281" s="342"/>
      <c r="N281" s="341"/>
      <c r="O281" s="338">
        <f t="shared" si="106"/>
        <v>0</v>
      </c>
      <c r="P281" s="341"/>
      <c r="Q281" s="431"/>
      <c r="R281" s="28">
        <f t="shared" si="114"/>
        <v>3.5000000000000003E-2</v>
      </c>
      <c r="S281" s="17">
        <f t="shared" si="128"/>
        <v>0</v>
      </c>
      <c r="T281" s="419">
        <f t="shared" si="129"/>
        <v>0</v>
      </c>
      <c r="U281" s="43"/>
      <c r="V281" s="44">
        <f t="shared" si="117"/>
        <v>0</v>
      </c>
      <c r="W281" s="35">
        <f t="shared" si="121"/>
        <v>0</v>
      </c>
      <c r="X281" s="35"/>
      <c r="Y281" s="45">
        <f t="shared" si="130"/>
        <v>0</v>
      </c>
      <c r="Z281" s="45" t="e">
        <f t="shared" si="122"/>
        <v>#DIV/0!</v>
      </c>
    </row>
    <row r="282" spans="3:26" ht="15" hidden="1" outlineLevel="2">
      <c r="C282" s="1464"/>
      <c r="D282" s="1464"/>
      <c r="E282" s="1459"/>
      <c r="F282" s="1462"/>
      <c r="G282" s="1454" t="s">
        <v>51</v>
      </c>
      <c r="H282" s="1455"/>
      <c r="I282" s="371">
        <f>SUM(I272:I281)</f>
        <v>0</v>
      </c>
      <c r="J282" s="371">
        <f t="shared" ref="J282" si="131">SUM(J272:J281)</f>
        <v>0</v>
      </c>
      <c r="K282" s="371">
        <f>SUMIFS(K272:K281,J272:J281,"&lt;&gt;",K272:K281,"&lt;"&amp;99^99)</f>
        <v>0</v>
      </c>
      <c r="L282" s="371">
        <f>SUMIFS(L272:L281,K272:K281,"&lt;&gt;",L272:L281,"&lt;"&amp;99^99)</f>
        <v>0</v>
      </c>
      <c r="M282" s="359"/>
      <c r="N282" s="371">
        <f>N272</f>
        <v>0</v>
      </c>
      <c r="O282" s="367">
        <f t="shared" si="106"/>
        <v>0</v>
      </c>
      <c r="P282" s="371">
        <f t="shared" ref="P282:Q282" si="132">SUM(P272:P281)</f>
        <v>0</v>
      </c>
      <c r="Q282" s="438">
        <f t="shared" si="132"/>
        <v>0</v>
      </c>
      <c r="R282" s="37" t="str">
        <f t="shared" si="114"/>
        <v/>
      </c>
      <c r="S282" s="37">
        <f>SUM(S272:S281)</f>
        <v>0</v>
      </c>
      <c r="T282" s="420">
        <f t="shared" ref="T282" si="133">SUM(T272:T281)</f>
        <v>0</v>
      </c>
      <c r="U282" s="37"/>
      <c r="V282" s="37"/>
      <c r="W282" s="37">
        <f t="shared" ref="W282" si="134">SUM(W272:W281)</f>
        <v>0</v>
      </c>
      <c r="X282" s="37"/>
      <c r="Y282" s="37">
        <f t="shared" ref="Y282" si="135">SUM(Y272:Y281)</f>
        <v>0</v>
      </c>
      <c r="Z282" s="37">
        <f>SUMIFS(Z272:Z281,Y272:Y281,"&lt;&gt;",Z272:Z281,"&lt;"&amp;99^99)</f>
        <v>0</v>
      </c>
    </row>
    <row r="283" spans="3:26" ht="15" hidden="1" outlineLevel="2">
      <c r="C283" s="1464"/>
      <c r="D283" s="1464"/>
      <c r="E283" s="1459"/>
      <c r="F283" s="1462"/>
      <c r="G283" s="350"/>
      <c r="H283" s="335" t="s">
        <v>22</v>
      </c>
      <c r="I283" s="336"/>
      <c r="J283" s="336"/>
      <c r="K283" s="336"/>
      <c r="L283" s="336"/>
      <c r="M283" s="337"/>
      <c r="N283" s="336"/>
      <c r="O283" s="338">
        <f t="shared" si="106"/>
        <v>0</v>
      </c>
      <c r="P283" s="336"/>
      <c r="Q283" s="430"/>
      <c r="R283" s="28">
        <f t="shared" si="114"/>
        <v>3.5000000000000003E-2</v>
      </c>
      <c r="S283" s="17">
        <f t="shared" ref="S283:S292" si="136">R283*J283</f>
        <v>0</v>
      </c>
      <c r="T283" s="419">
        <f t="shared" ref="T283:T292" si="137">R283*I283</f>
        <v>0</v>
      </c>
      <c r="U283" s="43"/>
      <c r="V283" s="44">
        <f t="shared" si="117"/>
        <v>0</v>
      </c>
      <c r="W283" s="35">
        <f t="shared" si="121"/>
        <v>0</v>
      </c>
      <c r="X283" s="35"/>
      <c r="Y283" s="45">
        <f t="shared" ref="Y283:Y292" si="138">I283+W283</f>
        <v>0</v>
      </c>
      <c r="Z283" s="45" t="e">
        <f t="shared" si="122"/>
        <v>#DIV/0!</v>
      </c>
    </row>
    <row r="284" spans="3:26" ht="15" hidden="1" outlineLevel="2">
      <c r="C284" s="1464"/>
      <c r="D284" s="1464"/>
      <c r="E284" s="1459"/>
      <c r="F284" s="1462"/>
      <c r="G284" s="343"/>
      <c r="H284" s="335" t="s">
        <v>22</v>
      </c>
      <c r="I284" s="341"/>
      <c r="J284" s="341"/>
      <c r="K284" s="341"/>
      <c r="L284" s="341"/>
      <c r="M284" s="342"/>
      <c r="N284" s="341">
        <v>0</v>
      </c>
      <c r="O284" s="338">
        <f t="shared" si="106"/>
        <v>0</v>
      </c>
      <c r="P284" s="341"/>
      <c r="Q284" s="431"/>
      <c r="R284" s="28">
        <f t="shared" si="114"/>
        <v>3.5000000000000003E-2</v>
      </c>
      <c r="S284" s="17">
        <f t="shared" si="136"/>
        <v>0</v>
      </c>
      <c r="T284" s="419">
        <f t="shared" si="137"/>
        <v>0</v>
      </c>
      <c r="U284" s="43"/>
      <c r="V284" s="44">
        <f t="shared" si="117"/>
        <v>0</v>
      </c>
      <c r="W284" s="35">
        <f t="shared" si="121"/>
        <v>0</v>
      </c>
      <c r="X284" s="35"/>
      <c r="Y284" s="45">
        <f t="shared" si="138"/>
        <v>0</v>
      </c>
      <c r="Z284" s="45" t="e">
        <f t="shared" si="122"/>
        <v>#DIV/0!</v>
      </c>
    </row>
    <row r="285" spans="3:26" ht="15" hidden="1" outlineLevel="2">
      <c r="C285" s="1464"/>
      <c r="D285" s="1464"/>
      <c r="E285" s="1459"/>
      <c r="F285" s="1462"/>
      <c r="G285" s="343"/>
      <c r="H285" s="335" t="s">
        <v>22</v>
      </c>
      <c r="I285" s="341"/>
      <c r="J285" s="341"/>
      <c r="K285" s="341"/>
      <c r="L285" s="341"/>
      <c r="M285" s="337"/>
      <c r="N285" s="341"/>
      <c r="O285" s="338">
        <f t="shared" si="106"/>
        <v>0</v>
      </c>
      <c r="P285" s="341"/>
      <c r="Q285" s="431"/>
      <c r="R285" s="28">
        <f t="shared" si="114"/>
        <v>3.5000000000000003E-2</v>
      </c>
      <c r="S285" s="17">
        <f t="shared" si="136"/>
        <v>0</v>
      </c>
      <c r="T285" s="419">
        <f t="shared" si="137"/>
        <v>0</v>
      </c>
      <c r="U285" s="43"/>
      <c r="V285" s="44">
        <f t="shared" si="117"/>
        <v>0</v>
      </c>
      <c r="W285" s="35">
        <f t="shared" si="121"/>
        <v>0</v>
      </c>
      <c r="X285" s="35"/>
      <c r="Y285" s="45">
        <f t="shared" si="138"/>
        <v>0</v>
      </c>
      <c r="Z285" s="45" t="e">
        <f t="shared" si="122"/>
        <v>#DIV/0!</v>
      </c>
    </row>
    <row r="286" spans="3:26" ht="15" hidden="1" outlineLevel="2">
      <c r="C286" s="1464"/>
      <c r="D286" s="1464"/>
      <c r="E286" s="1459"/>
      <c r="F286" s="1462"/>
      <c r="G286" s="343"/>
      <c r="H286" s="335" t="s">
        <v>22</v>
      </c>
      <c r="I286" s="341"/>
      <c r="J286" s="341"/>
      <c r="K286" s="341"/>
      <c r="L286" s="341"/>
      <c r="M286" s="342"/>
      <c r="N286" s="341"/>
      <c r="O286" s="338">
        <f t="shared" si="106"/>
        <v>0</v>
      </c>
      <c r="P286" s="341"/>
      <c r="Q286" s="431"/>
      <c r="R286" s="28">
        <f t="shared" si="114"/>
        <v>3.5000000000000003E-2</v>
      </c>
      <c r="S286" s="17">
        <f t="shared" si="136"/>
        <v>0</v>
      </c>
      <c r="T286" s="419">
        <f t="shared" si="137"/>
        <v>0</v>
      </c>
      <c r="U286" s="43"/>
      <c r="V286" s="44">
        <f t="shared" si="117"/>
        <v>0</v>
      </c>
      <c r="W286" s="35">
        <f t="shared" si="121"/>
        <v>0</v>
      </c>
      <c r="X286" s="35"/>
      <c r="Y286" s="45">
        <f t="shared" si="138"/>
        <v>0</v>
      </c>
      <c r="Z286" s="45" t="e">
        <f t="shared" si="122"/>
        <v>#DIV/0!</v>
      </c>
    </row>
    <row r="287" spans="3:26" ht="15" hidden="1" outlineLevel="2">
      <c r="C287" s="1464"/>
      <c r="D287" s="1464"/>
      <c r="E287" s="1459"/>
      <c r="F287" s="1462"/>
      <c r="G287" s="343"/>
      <c r="H287" s="335" t="s">
        <v>22</v>
      </c>
      <c r="I287" s="341"/>
      <c r="J287" s="341"/>
      <c r="K287" s="341"/>
      <c r="L287" s="341"/>
      <c r="M287" s="342"/>
      <c r="N287" s="341"/>
      <c r="O287" s="338">
        <f t="shared" si="106"/>
        <v>0</v>
      </c>
      <c r="P287" s="341"/>
      <c r="Q287" s="431"/>
      <c r="R287" s="28">
        <f t="shared" si="114"/>
        <v>3.5000000000000003E-2</v>
      </c>
      <c r="S287" s="17">
        <f t="shared" si="136"/>
        <v>0</v>
      </c>
      <c r="T287" s="419">
        <f t="shared" si="137"/>
        <v>0</v>
      </c>
      <c r="U287" s="43"/>
      <c r="V287" s="44">
        <f t="shared" si="117"/>
        <v>0</v>
      </c>
      <c r="W287" s="35">
        <f t="shared" si="121"/>
        <v>0</v>
      </c>
      <c r="X287" s="35"/>
      <c r="Y287" s="45">
        <f t="shared" si="138"/>
        <v>0</v>
      </c>
      <c r="Z287" s="45" t="e">
        <f t="shared" si="122"/>
        <v>#DIV/0!</v>
      </c>
    </row>
    <row r="288" spans="3:26" ht="15" hidden="1" outlineLevel="2">
      <c r="C288" s="1464"/>
      <c r="D288" s="1464"/>
      <c r="E288" s="1459"/>
      <c r="F288" s="1462"/>
      <c r="G288" s="343"/>
      <c r="H288" s="335" t="s">
        <v>22</v>
      </c>
      <c r="I288" s="341"/>
      <c r="J288" s="341"/>
      <c r="K288" s="341"/>
      <c r="L288" s="341"/>
      <c r="M288" s="342"/>
      <c r="N288" s="341"/>
      <c r="O288" s="338">
        <f t="shared" si="106"/>
        <v>0</v>
      </c>
      <c r="P288" s="341"/>
      <c r="Q288" s="431"/>
      <c r="R288" s="28">
        <f t="shared" si="114"/>
        <v>3.5000000000000003E-2</v>
      </c>
      <c r="S288" s="17">
        <f t="shared" si="136"/>
        <v>0</v>
      </c>
      <c r="T288" s="419">
        <f t="shared" si="137"/>
        <v>0</v>
      </c>
      <c r="U288" s="43"/>
      <c r="V288" s="44">
        <f t="shared" si="117"/>
        <v>0</v>
      </c>
      <c r="W288" s="35">
        <f t="shared" si="121"/>
        <v>0</v>
      </c>
      <c r="X288" s="35"/>
      <c r="Y288" s="45">
        <f t="shared" si="138"/>
        <v>0</v>
      </c>
      <c r="Z288" s="45" t="e">
        <f t="shared" si="122"/>
        <v>#DIV/0!</v>
      </c>
    </row>
    <row r="289" spans="3:26" ht="15" hidden="1" outlineLevel="2">
      <c r="C289" s="1464"/>
      <c r="D289" s="1464"/>
      <c r="E289" s="1459"/>
      <c r="F289" s="1462"/>
      <c r="G289" s="343"/>
      <c r="H289" s="335" t="s">
        <v>22</v>
      </c>
      <c r="I289" s="341"/>
      <c r="J289" s="341"/>
      <c r="K289" s="341"/>
      <c r="L289" s="341"/>
      <c r="M289" s="342"/>
      <c r="N289" s="341"/>
      <c r="O289" s="338">
        <f t="shared" si="106"/>
        <v>0</v>
      </c>
      <c r="P289" s="341"/>
      <c r="Q289" s="431"/>
      <c r="R289" s="28">
        <f t="shared" si="114"/>
        <v>3.5000000000000003E-2</v>
      </c>
      <c r="S289" s="17">
        <f t="shared" si="136"/>
        <v>0</v>
      </c>
      <c r="T289" s="419">
        <f t="shared" si="137"/>
        <v>0</v>
      </c>
      <c r="U289" s="43"/>
      <c r="V289" s="44">
        <f t="shared" si="117"/>
        <v>0</v>
      </c>
      <c r="W289" s="35">
        <f t="shared" si="121"/>
        <v>0</v>
      </c>
      <c r="X289" s="35"/>
      <c r="Y289" s="45">
        <f t="shared" si="138"/>
        <v>0</v>
      </c>
      <c r="Z289" s="45" t="e">
        <f t="shared" si="122"/>
        <v>#DIV/0!</v>
      </c>
    </row>
    <row r="290" spans="3:26" ht="15" hidden="1" outlineLevel="2">
      <c r="C290" s="1464"/>
      <c r="D290" s="1464"/>
      <c r="E290" s="1459"/>
      <c r="F290" s="1462"/>
      <c r="G290" s="343"/>
      <c r="H290" s="335" t="s">
        <v>22</v>
      </c>
      <c r="I290" s="341"/>
      <c r="J290" s="341"/>
      <c r="K290" s="341"/>
      <c r="L290" s="341"/>
      <c r="M290" s="342"/>
      <c r="N290" s="341"/>
      <c r="O290" s="338">
        <f t="shared" si="106"/>
        <v>0</v>
      </c>
      <c r="P290" s="341"/>
      <c r="Q290" s="431"/>
      <c r="R290" s="28">
        <f t="shared" si="114"/>
        <v>3.5000000000000003E-2</v>
      </c>
      <c r="S290" s="17">
        <f t="shared" si="136"/>
        <v>0</v>
      </c>
      <c r="T290" s="419">
        <f t="shared" si="137"/>
        <v>0</v>
      </c>
      <c r="U290" s="43"/>
      <c r="V290" s="44">
        <f t="shared" si="117"/>
        <v>0</v>
      </c>
      <c r="W290" s="35">
        <f t="shared" si="121"/>
        <v>0</v>
      </c>
      <c r="X290" s="35"/>
      <c r="Y290" s="45">
        <f t="shared" si="138"/>
        <v>0</v>
      </c>
      <c r="Z290" s="45" t="e">
        <f t="shared" si="122"/>
        <v>#DIV/0!</v>
      </c>
    </row>
    <row r="291" spans="3:26" ht="15" hidden="1" outlineLevel="2">
      <c r="C291" s="1464"/>
      <c r="D291" s="1464"/>
      <c r="E291" s="1459"/>
      <c r="F291" s="1462"/>
      <c r="G291" s="344"/>
      <c r="H291" s="335" t="s">
        <v>22</v>
      </c>
      <c r="I291" s="345"/>
      <c r="J291" s="345"/>
      <c r="K291" s="345"/>
      <c r="L291" s="345"/>
      <c r="M291" s="346"/>
      <c r="N291" s="345"/>
      <c r="O291" s="338">
        <f t="shared" si="106"/>
        <v>0</v>
      </c>
      <c r="P291" s="345"/>
      <c r="Q291" s="432"/>
      <c r="R291" s="28">
        <f t="shared" si="114"/>
        <v>3.5000000000000003E-2</v>
      </c>
      <c r="S291" s="17">
        <f t="shared" si="136"/>
        <v>0</v>
      </c>
      <c r="T291" s="419">
        <f t="shared" si="137"/>
        <v>0</v>
      </c>
      <c r="U291" s="43"/>
      <c r="V291" s="44">
        <f t="shared" si="117"/>
        <v>0</v>
      </c>
      <c r="W291" s="35">
        <f t="shared" si="121"/>
        <v>0</v>
      </c>
      <c r="X291" s="35"/>
      <c r="Y291" s="45">
        <f t="shared" si="138"/>
        <v>0</v>
      </c>
      <c r="Z291" s="45" t="e">
        <f t="shared" si="122"/>
        <v>#DIV/0!</v>
      </c>
    </row>
    <row r="292" spans="3:26" ht="15" hidden="1" outlineLevel="2">
      <c r="C292" s="1464"/>
      <c r="D292" s="1464"/>
      <c r="E292" s="1459"/>
      <c r="F292" s="1462"/>
      <c r="G292" s="343"/>
      <c r="H292" s="335" t="s">
        <v>22</v>
      </c>
      <c r="I292" s="341"/>
      <c r="J292" s="341"/>
      <c r="K292" s="341"/>
      <c r="L292" s="341"/>
      <c r="M292" s="342"/>
      <c r="N292" s="341"/>
      <c r="O292" s="338">
        <f t="shared" si="106"/>
        <v>0</v>
      </c>
      <c r="P292" s="341"/>
      <c r="Q292" s="431"/>
      <c r="R292" s="28">
        <f t="shared" si="114"/>
        <v>3.5000000000000003E-2</v>
      </c>
      <c r="S292" s="17">
        <f t="shared" si="136"/>
        <v>0</v>
      </c>
      <c r="T292" s="419">
        <f t="shared" si="137"/>
        <v>0</v>
      </c>
      <c r="U292" s="43"/>
      <c r="V292" s="44">
        <f t="shared" si="117"/>
        <v>0</v>
      </c>
      <c r="W292" s="35">
        <f t="shared" si="121"/>
        <v>0</v>
      </c>
      <c r="X292" s="35"/>
      <c r="Y292" s="45">
        <f t="shared" si="138"/>
        <v>0</v>
      </c>
      <c r="Z292" s="45" t="e">
        <f t="shared" si="122"/>
        <v>#DIV/0!</v>
      </c>
    </row>
    <row r="293" spans="3:26" ht="15" hidden="1" outlineLevel="2">
      <c r="C293" s="1464"/>
      <c r="D293" s="1464"/>
      <c r="E293" s="1459"/>
      <c r="F293" s="1462"/>
      <c r="G293" s="1454" t="s">
        <v>44</v>
      </c>
      <c r="H293" s="1455"/>
      <c r="I293" s="371">
        <f>SUM(I283:I292)</f>
        <v>0</v>
      </c>
      <c r="J293" s="371">
        <f t="shared" ref="J293" si="139">SUM(J283:J292)</f>
        <v>0</v>
      </c>
      <c r="K293" s="371">
        <f>SUMIFS(K283:K292,K283:K292,"&lt;&gt;",K283:K292,"&lt;"&amp;99^99)</f>
        <v>0</v>
      </c>
      <c r="L293" s="371">
        <f>SUMIFS(L283:L292,L283:L292,"&lt;&gt;",L283:L292,"&lt;"&amp;99^99)</f>
        <v>0</v>
      </c>
      <c r="M293" s="359"/>
      <c r="N293" s="371">
        <f>N283</f>
        <v>0</v>
      </c>
      <c r="O293" s="367">
        <f t="shared" si="106"/>
        <v>0</v>
      </c>
      <c r="P293" s="371">
        <f t="shared" ref="P293:Q293" si="140">SUM(P283:P292)</f>
        <v>0</v>
      </c>
      <c r="Q293" s="438">
        <f t="shared" si="140"/>
        <v>0</v>
      </c>
      <c r="R293" s="37" t="str">
        <f t="shared" si="114"/>
        <v/>
      </c>
      <c r="S293" s="37">
        <f>SUM(S283:S292)</f>
        <v>0</v>
      </c>
      <c r="T293" s="420">
        <f t="shared" ref="T293" si="141">SUM(T283:T292)</f>
        <v>0</v>
      </c>
      <c r="U293" s="37"/>
      <c r="V293" s="37"/>
      <c r="W293" s="37">
        <f t="shared" ref="W293" si="142">SUM(W283:W292)</f>
        <v>0</v>
      </c>
      <c r="X293" s="37"/>
      <c r="Y293" s="37">
        <f t="shared" ref="Y293" si="143">SUM(Y283:Y292)</f>
        <v>0</v>
      </c>
      <c r="Z293" s="37">
        <f>SUMIFS(Z283:Z292,Y283:Y292,"&lt;&gt;",Z283:Z292,"&lt;"&amp;99^99)</f>
        <v>0</v>
      </c>
    </row>
    <row r="294" spans="3:26" ht="15" hidden="1" outlineLevel="1" collapsed="1">
      <c r="C294" s="1464"/>
      <c r="D294" s="1464"/>
      <c r="E294" s="1459"/>
      <c r="F294" s="1463"/>
      <c r="G294" s="1454" t="s">
        <v>177</v>
      </c>
      <c r="H294" s="1455"/>
      <c r="I294" s="371">
        <f>(I271/usdrate)+(I282*jodrate)+I293</f>
        <v>0</v>
      </c>
      <c r="J294" s="371">
        <f>(J271/usdrate)+(J282*jodrate)+J293</f>
        <v>0</v>
      </c>
      <c r="K294" s="371">
        <f>(K271/usdrate)+(K282*jodrate)+K293</f>
        <v>0</v>
      </c>
      <c r="L294" s="371">
        <f>(L271/usdrate)+(L282*jodrate)+L293</f>
        <v>0</v>
      </c>
      <c r="M294" s="359"/>
      <c r="N294" s="371">
        <f>(N271/usdrate)+(N282*jodrate)+N293</f>
        <v>0</v>
      </c>
      <c r="O294" s="367">
        <f t="shared" si="106"/>
        <v>0</v>
      </c>
      <c r="P294" s="371">
        <f>(P271/usdrate)+(P282*jodrate)+P293</f>
        <v>0</v>
      </c>
      <c r="Q294" s="438">
        <f>(Q271/usdrate)+(Q282*jodrate)+Q293</f>
        <v>0</v>
      </c>
      <c r="R294" s="242"/>
      <c r="S294" s="37">
        <f t="shared" ref="S294:Z294" si="144">(S271/usdrate)+(S282*jodrate)+S293</f>
        <v>0</v>
      </c>
      <c r="T294" s="420">
        <f t="shared" si="144"/>
        <v>0</v>
      </c>
      <c r="U294" s="37">
        <f t="shared" si="144"/>
        <v>0</v>
      </c>
      <c r="V294" s="37">
        <f t="shared" si="144"/>
        <v>0</v>
      </c>
      <c r="W294" s="37">
        <f t="shared" si="144"/>
        <v>0</v>
      </c>
      <c r="X294" s="37"/>
      <c r="Y294" s="37">
        <f t="shared" si="144"/>
        <v>0</v>
      </c>
      <c r="Z294" s="37">
        <f t="shared" si="144"/>
        <v>0</v>
      </c>
    </row>
    <row r="295" spans="3:26" ht="15" hidden="1" outlineLevel="2">
      <c r="C295" s="1464"/>
      <c r="D295" s="1464"/>
      <c r="E295" s="1459"/>
      <c r="F295" s="1461" t="s">
        <v>170</v>
      </c>
      <c r="G295" s="353"/>
      <c r="H295" s="340" t="s">
        <v>4</v>
      </c>
      <c r="I295" s="341"/>
      <c r="J295" s="341"/>
      <c r="K295" s="370"/>
      <c r="L295" s="370"/>
      <c r="M295" s="337"/>
      <c r="N295" s="336"/>
      <c r="O295" s="338">
        <f t="shared" si="106"/>
        <v>0</v>
      </c>
      <c r="P295" s="341"/>
      <c r="Q295" s="431"/>
      <c r="T295" s="418"/>
    </row>
    <row r="296" spans="3:26" ht="15" hidden="1" outlineLevel="2">
      <c r="C296" s="1464"/>
      <c r="D296" s="1464"/>
      <c r="E296" s="1459"/>
      <c r="F296" s="1462"/>
      <c r="G296" s="343"/>
      <c r="H296" s="340" t="s">
        <v>4</v>
      </c>
      <c r="I296" s="341"/>
      <c r="J296" s="341"/>
      <c r="K296" s="341"/>
      <c r="L296" s="341"/>
      <c r="M296" s="342"/>
      <c r="N296" s="341">
        <v>0</v>
      </c>
      <c r="O296" s="338">
        <f t="shared" si="106"/>
        <v>0</v>
      </c>
      <c r="P296" s="341"/>
      <c r="Q296" s="431"/>
      <c r="T296" s="418"/>
    </row>
    <row r="297" spans="3:26" ht="15" hidden="1" outlineLevel="2">
      <c r="C297" s="1464"/>
      <c r="D297" s="1464"/>
      <c r="E297" s="1459"/>
      <c r="F297" s="1462"/>
      <c r="G297" s="343"/>
      <c r="H297" s="340" t="s">
        <v>4</v>
      </c>
      <c r="I297" s="341"/>
      <c r="J297" s="341"/>
      <c r="K297" s="341"/>
      <c r="L297" s="341"/>
      <c r="M297" s="337"/>
      <c r="N297" s="341"/>
      <c r="O297" s="338">
        <f t="shared" si="106"/>
        <v>0</v>
      </c>
      <c r="P297" s="341"/>
      <c r="Q297" s="431"/>
      <c r="T297" s="418"/>
    </row>
    <row r="298" spans="3:26" ht="15" hidden="1" outlineLevel="2">
      <c r="C298" s="1464"/>
      <c r="D298" s="1464"/>
      <c r="E298" s="1459"/>
      <c r="F298" s="1462"/>
      <c r="G298" s="343"/>
      <c r="H298" s="340" t="s">
        <v>4</v>
      </c>
      <c r="I298" s="341"/>
      <c r="J298" s="341"/>
      <c r="K298" s="341"/>
      <c r="L298" s="341"/>
      <c r="M298" s="342"/>
      <c r="N298" s="341"/>
      <c r="O298" s="338">
        <f t="shared" si="106"/>
        <v>0</v>
      </c>
      <c r="P298" s="341"/>
      <c r="Q298" s="431"/>
      <c r="T298" s="418"/>
    </row>
    <row r="299" spans="3:26" ht="15" hidden="1" outlineLevel="2">
      <c r="C299" s="1464"/>
      <c r="D299" s="1464"/>
      <c r="E299" s="1459"/>
      <c r="F299" s="1462"/>
      <c r="G299" s="343"/>
      <c r="H299" s="340" t="s">
        <v>4</v>
      </c>
      <c r="I299" s="341"/>
      <c r="J299" s="341"/>
      <c r="K299" s="341"/>
      <c r="L299" s="341"/>
      <c r="M299" s="342"/>
      <c r="N299" s="341"/>
      <c r="O299" s="338">
        <f t="shared" si="106"/>
        <v>0</v>
      </c>
      <c r="P299" s="341"/>
      <c r="Q299" s="431"/>
      <c r="T299" s="418"/>
    </row>
    <row r="300" spans="3:26" ht="15" hidden="1" outlineLevel="2">
      <c r="C300" s="1464"/>
      <c r="D300" s="1464"/>
      <c r="E300" s="1459"/>
      <c r="F300" s="1462"/>
      <c r="G300" s="343"/>
      <c r="H300" s="340" t="s">
        <v>4</v>
      </c>
      <c r="I300" s="341"/>
      <c r="J300" s="341"/>
      <c r="K300" s="341"/>
      <c r="L300" s="341"/>
      <c r="M300" s="342"/>
      <c r="N300" s="341"/>
      <c r="O300" s="338">
        <f t="shared" si="106"/>
        <v>0</v>
      </c>
      <c r="P300" s="341"/>
      <c r="Q300" s="431"/>
      <c r="T300" s="418"/>
    </row>
    <row r="301" spans="3:26" ht="15" hidden="1" outlineLevel="2">
      <c r="C301" s="1464"/>
      <c r="D301" s="1464"/>
      <c r="E301" s="1459"/>
      <c r="F301" s="1462"/>
      <c r="G301" s="343"/>
      <c r="H301" s="340" t="s">
        <v>4</v>
      </c>
      <c r="I301" s="341"/>
      <c r="J301" s="341"/>
      <c r="K301" s="341"/>
      <c r="L301" s="341"/>
      <c r="M301" s="342"/>
      <c r="N301" s="341"/>
      <c r="O301" s="338">
        <f t="shared" si="106"/>
        <v>0</v>
      </c>
      <c r="P301" s="341"/>
      <c r="Q301" s="431"/>
      <c r="T301" s="418"/>
    </row>
    <row r="302" spans="3:26" ht="15" hidden="1" outlineLevel="2">
      <c r="C302" s="1464"/>
      <c r="D302" s="1464"/>
      <c r="E302" s="1459"/>
      <c r="F302" s="1462"/>
      <c r="G302" s="343"/>
      <c r="H302" s="340" t="s">
        <v>4</v>
      </c>
      <c r="I302" s="341"/>
      <c r="J302" s="341"/>
      <c r="K302" s="341"/>
      <c r="L302" s="341"/>
      <c r="M302" s="342"/>
      <c r="N302" s="341"/>
      <c r="O302" s="338">
        <f t="shared" si="106"/>
        <v>0</v>
      </c>
      <c r="P302" s="341"/>
      <c r="Q302" s="431"/>
      <c r="T302" s="418"/>
    </row>
    <row r="303" spans="3:26" ht="15" hidden="1" outlineLevel="2">
      <c r="C303" s="1464"/>
      <c r="D303" s="1464"/>
      <c r="E303" s="1459"/>
      <c r="F303" s="1462"/>
      <c r="G303" s="344"/>
      <c r="H303" s="340" t="s">
        <v>4</v>
      </c>
      <c r="I303" s="345"/>
      <c r="J303" s="345"/>
      <c r="K303" s="345"/>
      <c r="L303" s="345"/>
      <c r="M303" s="346"/>
      <c r="N303" s="345"/>
      <c r="O303" s="338">
        <f t="shared" si="106"/>
        <v>0</v>
      </c>
      <c r="P303" s="345"/>
      <c r="Q303" s="432"/>
      <c r="T303" s="418"/>
    </row>
    <row r="304" spans="3:26" ht="15" hidden="1" outlineLevel="2">
      <c r="C304" s="1464"/>
      <c r="D304" s="1464"/>
      <c r="E304" s="1459"/>
      <c r="F304" s="1462"/>
      <c r="G304" s="343"/>
      <c r="H304" s="340" t="s">
        <v>4</v>
      </c>
      <c r="I304" s="341"/>
      <c r="J304" s="341"/>
      <c r="K304" s="341"/>
      <c r="L304" s="341"/>
      <c r="M304" s="342"/>
      <c r="N304" s="341"/>
      <c r="O304" s="338">
        <f t="shared" si="106"/>
        <v>0</v>
      </c>
      <c r="P304" s="341"/>
      <c r="Q304" s="431"/>
      <c r="T304" s="418"/>
    </row>
    <row r="305" spans="3:20" ht="15" hidden="1" outlineLevel="2">
      <c r="C305" s="1464"/>
      <c r="D305" s="1464"/>
      <c r="E305" s="1459"/>
      <c r="F305" s="1462"/>
      <c r="G305" s="1454" t="s">
        <v>45</v>
      </c>
      <c r="H305" s="1455"/>
      <c r="I305" s="371">
        <f>SUM(I295:I304)</f>
        <v>0</v>
      </c>
      <c r="J305" s="371">
        <f t="shared" ref="J305:K305" si="145">SUM(J295:J304)</f>
        <v>0</v>
      </c>
      <c r="K305" s="371">
        <f t="shared" si="145"/>
        <v>0</v>
      </c>
      <c r="L305" s="371">
        <f t="shared" ref="L305" si="146">SUM(L295:L304)</f>
        <v>0</v>
      </c>
      <c r="M305" s="359"/>
      <c r="N305" s="371">
        <f>N295</f>
        <v>0</v>
      </c>
      <c r="O305" s="367">
        <f t="shared" si="106"/>
        <v>0</v>
      </c>
      <c r="P305" s="371">
        <f t="shared" ref="P305:Q305" si="147">SUM(P295:P304)</f>
        <v>0</v>
      </c>
      <c r="Q305" s="438">
        <f t="shared" si="147"/>
        <v>0</v>
      </c>
      <c r="T305" s="418"/>
    </row>
    <row r="306" spans="3:20" ht="15" hidden="1" outlineLevel="2">
      <c r="C306" s="1464"/>
      <c r="D306" s="1464"/>
      <c r="E306" s="1459"/>
      <c r="F306" s="1462"/>
      <c r="G306" s="350"/>
      <c r="H306" s="335" t="s">
        <v>28</v>
      </c>
      <c r="I306" s="336"/>
      <c r="J306" s="336"/>
      <c r="K306" s="336"/>
      <c r="L306" s="336"/>
      <c r="M306" s="337"/>
      <c r="N306" s="336"/>
      <c r="O306" s="338">
        <f t="shared" si="106"/>
        <v>0</v>
      </c>
      <c r="P306" s="336"/>
      <c r="Q306" s="430"/>
      <c r="T306" s="418"/>
    </row>
    <row r="307" spans="3:20" ht="15" hidden="1" outlineLevel="2">
      <c r="C307" s="1464"/>
      <c r="D307" s="1464"/>
      <c r="E307" s="1459"/>
      <c r="F307" s="1462"/>
      <c r="G307" s="343"/>
      <c r="H307" s="335" t="s">
        <v>28</v>
      </c>
      <c r="I307" s="341"/>
      <c r="J307" s="341"/>
      <c r="K307" s="341"/>
      <c r="L307" s="341"/>
      <c r="M307" s="342"/>
      <c r="N307" s="341"/>
      <c r="O307" s="338">
        <f t="shared" si="106"/>
        <v>0</v>
      </c>
      <c r="P307" s="341"/>
      <c r="Q307" s="431"/>
      <c r="T307" s="418"/>
    </row>
    <row r="308" spans="3:20" ht="15" hidden="1" outlineLevel="2">
      <c r="C308" s="1464"/>
      <c r="D308" s="1464"/>
      <c r="E308" s="1459"/>
      <c r="F308" s="1462"/>
      <c r="G308" s="343"/>
      <c r="H308" s="335" t="s">
        <v>28</v>
      </c>
      <c r="I308" s="341"/>
      <c r="J308" s="341"/>
      <c r="K308" s="341"/>
      <c r="L308" s="341"/>
      <c r="M308" s="337"/>
      <c r="N308" s="341"/>
      <c r="O308" s="338">
        <f t="shared" si="106"/>
        <v>0</v>
      </c>
      <c r="P308" s="341"/>
      <c r="Q308" s="431"/>
      <c r="T308" s="418"/>
    </row>
    <row r="309" spans="3:20" ht="15" hidden="1" outlineLevel="2">
      <c r="C309" s="1464"/>
      <c r="D309" s="1464"/>
      <c r="E309" s="1459"/>
      <c r="F309" s="1462"/>
      <c r="G309" s="343"/>
      <c r="H309" s="335" t="s">
        <v>28</v>
      </c>
      <c r="I309" s="341"/>
      <c r="J309" s="341"/>
      <c r="K309" s="341"/>
      <c r="L309" s="341"/>
      <c r="M309" s="342"/>
      <c r="N309" s="341"/>
      <c r="O309" s="338">
        <f t="shared" si="106"/>
        <v>0</v>
      </c>
      <c r="P309" s="341"/>
      <c r="Q309" s="431"/>
      <c r="T309" s="418"/>
    </row>
    <row r="310" spans="3:20" ht="15" hidden="1" outlineLevel="2">
      <c r="C310" s="1464"/>
      <c r="D310" s="1464"/>
      <c r="E310" s="1459"/>
      <c r="F310" s="1462"/>
      <c r="G310" s="343"/>
      <c r="H310" s="335" t="s">
        <v>28</v>
      </c>
      <c r="I310" s="341"/>
      <c r="J310" s="341"/>
      <c r="K310" s="341"/>
      <c r="L310" s="341"/>
      <c r="M310" s="342"/>
      <c r="N310" s="341"/>
      <c r="O310" s="338">
        <f t="shared" si="106"/>
        <v>0</v>
      </c>
      <c r="P310" s="341"/>
      <c r="Q310" s="431"/>
      <c r="T310" s="418"/>
    </row>
    <row r="311" spans="3:20" ht="15" hidden="1" outlineLevel="2">
      <c r="C311" s="1464"/>
      <c r="D311" s="1464"/>
      <c r="E311" s="1459"/>
      <c r="F311" s="1462"/>
      <c r="G311" s="343"/>
      <c r="H311" s="335" t="s">
        <v>28</v>
      </c>
      <c r="I311" s="341"/>
      <c r="J311" s="341"/>
      <c r="K311" s="341"/>
      <c r="L311" s="341"/>
      <c r="M311" s="342"/>
      <c r="N311" s="341"/>
      <c r="O311" s="338">
        <f t="shared" si="106"/>
        <v>0</v>
      </c>
      <c r="P311" s="341"/>
      <c r="Q311" s="431"/>
      <c r="T311" s="418"/>
    </row>
    <row r="312" spans="3:20" ht="15" hidden="1" outlineLevel="2">
      <c r="C312" s="1464"/>
      <c r="D312" s="1464"/>
      <c r="E312" s="1459"/>
      <c r="F312" s="1462"/>
      <c r="G312" s="343"/>
      <c r="H312" s="335" t="s">
        <v>28</v>
      </c>
      <c r="I312" s="341"/>
      <c r="J312" s="341"/>
      <c r="K312" s="341"/>
      <c r="L312" s="341"/>
      <c r="M312" s="342"/>
      <c r="N312" s="341"/>
      <c r="O312" s="338">
        <f t="shared" si="106"/>
        <v>0</v>
      </c>
      <c r="P312" s="341"/>
      <c r="Q312" s="431"/>
      <c r="T312" s="418"/>
    </row>
    <row r="313" spans="3:20" ht="15" hidden="1" outlineLevel="2">
      <c r="C313" s="1464"/>
      <c r="D313" s="1464"/>
      <c r="E313" s="1459"/>
      <c r="F313" s="1462"/>
      <c r="G313" s="343"/>
      <c r="H313" s="335" t="s">
        <v>28</v>
      </c>
      <c r="I313" s="341"/>
      <c r="J313" s="341"/>
      <c r="K313" s="341"/>
      <c r="L313" s="341"/>
      <c r="M313" s="342"/>
      <c r="N313" s="341"/>
      <c r="O313" s="338">
        <f t="shared" si="106"/>
        <v>0</v>
      </c>
      <c r="P313" s="341"/>
      <c r="Q313" s="431"/>
      <c r="T313" s="418"/>
    </row>
    <row r="314" spans="3:20" ht="15" hidden="1" outlineLevel="2">
      <c r="C314" s="1464"/>
      <c r="D314" s="1464"/>
      <c r="E314" s="1459"/>
      <c r="F314" s="1462"/>
      <c r="G314" s="344"/>
      <c r="H314" s="335" t="s">
        <v>28</v>
      </c>
      <c r="I314" s="345"/>
      <c r="J314" s="345"/>
      <c r="K314" s="345"/>
      <c r="L314" s="345"/>
      <c r="M314" s="346"/>
      <c r="N314" s="345"/>
      <c r="O314" s="338">
        <f t="shared" si="106"/>
        <v>0</v>
      </c>
      <c r="P314" s="345"/>
      <c r="Q314" s="432"/>
      <c r="T314" s="418"/>
    </row>
    <row r="315" spans="3:20" ht="15" hidden="1" outlineLevel="2">
      <c r="C315" s="1464"/>
      <c r="D315" s="1464"/>
      <c r="E315" s="1459"/>
      <c r="F315" s="1462"/>
      <c r="G315" s="343"/>
      <c r="H315" s="335" t="s">
        <v>28</v>
      </c>
      <c r="I315" s="341"/>
      <c r="J315" s="341"/>
      <c r="K315" s="341"/>
      <c r="L315" s="341"/>
      <c r="M315" s="342"/>
      <c r="N315" s="341"/>
      <c r="O315" s="338">
        <f t="shared" si="106"/>
        <v>0</v>
      </c>
      <c r="P315" s="341"/>
      <c r="Q315" s="431"/>
      <c r="T315" s="418"/>
    </row>
    <row r="316" spans="3:20" ht="15" hidden="1" outlineLevel="2">
      <c r="C316" s="1464"/>
      <c r="D316" s="1464"/>
      <c r="E316" s="1459"/>
      <c r="F316" s="1462"/>
      <c r="G316" s="1454" t="s">
        <v>51</v>
      </c>
      <c r="H316" s="1455"/>
      <c r="I316" s="371">
        <f>SUM(I306:I315)</f>
        <v>0</v>
      </c>
      <c r="J316" s="371">
        <f t="shared" ref="J316:K316" si="148">SUM(J306:J315)</f>
        <v>0</v>
      </c>
      <c r="K316" s="371">
        <f t="shared" si="148"/>
        <v>0</v>
      </c>
      <c r="L316" s="371">
        <f t="shared" ref="L316" si="149">SUM(L306:L315)</f>
        <v>0</v>
      </c>
      <c r="M316" s="359"/>
      <c r="N316" s="371">
        <f>N306</f>
        <v>0</v>
      </c>
      <c r="O316" s="367">
        <f t="shared" si="106"/>
        <v>0</v>
      </c>
      <c r="P316" s="371">
        <f t="shared" ref="P316:Q316" si="150">SUM(P306:P315)</f>
        <v>0</v>
      </c>
      <c r="Q316" s="438">
        <f t="shared" si="150"/>
        <v>0</v>
      </c>
      <c r="T316" s="418"/>
    </row>
    <row r="317" spans="3:20" ht="15" hidden="1" outlineLevel="2">
      <c r="C317" s="1464"/>
      <c r="D317" s="1464"/>
      <c r="E317" s="1459"/>
      <c r="F317" s="1462"/>
      <c r="G317" s="350"/>
      <c r="H317" s="335" t="s">
        <v>22</v>
      </c>
      <c r="I317" s="336"/>
      <c r="J317" s="336"/>
      <c r="K317" s="336"/>
      <c r="L317" s="336"/>
      <c r="M317" s="337"/>
      <c r="N317" s="336"/>
      <c r="O317" s="338">
        <f t="shared" si="106"/>
        <v>0</v>
      </c>
      <c r="P317" s="336"/>
      <c r="Q317" s="430"/>
      <c r="T317" s="418"/>
    </row>
    <row r="318" spans="3:20" ht="15" hidden="1" outlineLevel="2">
      <c r="C318" s="1464"/>
      <c r="D318" s="1464"/>
      <c r="E318" s="1459"/>
      <c r="F318" s="1462"/>
      <c r="G318" s="343"/>
      <c r="H318" s="335" t="s">
        <v>22</v>
      </c>
      <c r="I318" s="341"/>
      <c r="J318" s="341"/>
      <c r="K318" s="341"/>
      <c r="L318" s="341"/>
      <c r="M318" s="342"/>
      <c r="N318" s="341"/>
      <c r="O318" s="338">
        <f t="shared" si="106"/>
        <v>0</v>
      </c>
      <c r="P318" s="341"/>
      <c r="Q318" s="431"/>
      <c r="T318" s="418"/>
    </row>
    <row r="319" spans="3:20" ht="15" hidden="1" outlineLevel="2">
      <c r="C319" s="1464"/>
      <c r="D319" s="1464"/>
      <c r="E319" s="1459"/>
      <c r="F319" s="1462"/>
      <c r="G319" s="343"/>
      <c r="H319" s="335" t="s">
        <v>22</v>
      </c>
      <c r="I319" s="341"/>
      <c r="J319" s="341"/>
      <c r="K319" s="341"/>
      <c r="L319" s="341"/>
      <c r="M319" s="337"/>
      <c r="N319" s="341"/>
      <c r="O319" s="338">
        <f t="shared" si="106"/>
        <v>0</v>
      </c>
      <c r="P319" s="341"/>
      <c r="Q319" s="431"/>
      <c r="T319" s="418"/>
    </row>
    <row r="320" spans="3:20" ht="15" hidden="1" outlineLevel="2">
      <c r="C320" s="1464"/>
      <c r="D320" s="1464"/>
      <c r="E320" s="1459"/>
      <c r="F320" s="1462"/>
      <c r="G320" s="343"/>
      <c r="H320" s="335" t="s">
        <v>22</v>
      </c>
      <c r="I320" s="341"/>
      <c r="J320" s="341"/>
      <c r="K320" s="341"/>
      <c r="L320" s="341"/>
      <c r="M320" s="342"/>
      <c r="N320" s="341"/>
      <c r="O320" s="338">
        <f t="shared" ref="O320:O383" si="151">IF(N320=0,0,N320/J320)</f>
        <v>0</v>
      </c>
      <c r="P320" s="341"/>
      <c r="Q320" s="431"/>
      <c r="T320" s="418"/>
    </row>
    <row r="321" spans="3:20" ht="15" hidden="1" outlineLevel="2">
      <c r="C321" s="1464"/>
      <c r="D321" s="1464"/>
      <c r="E321" s="1459"/>
      <c r="F321" s="1462"/>
      <c r="G321" s="343"/>
      <c r="H321" s="335" t="s">
        <v>22</v>
      </c>
      <c r="I321" s="341"/>
      <c r="J321" s="341"/>
      <c r="K321" s="341"/>
      <c r="L321" s="341"/>
      <c r="M321" s="342"/>
      <c r="N321" s="341"/>
      <c r="O321" s="338">
        <f t="shared" si="151"/>
        <v>0</v>
      </c>
      <c r="P321" s="341"/>
      <c r="Q321" s="431"/>
      <c r="T321" s="418"/>
    </row>
    <row r="322" spans="3:20" ht="15" hidden="1" outlineLevel="2">
      <c r="C322" s="1464"/>
      <c r="D322" s="1464"/>
      <c r="E322" s="1459"/>
      <c r="F322" s="1462"/>
      <c r="G322" s="343"/>
      <c r="H322" s="335" t="s">
        <v>22</v>
      </c>
      <c r="I322" s="341"/>
      <c r="J322" s="341"/>
      <c r="K322" s="341"/>
      <c r="L322" s="341"/>
      <c r="M322" s="342"/>
      <c r="N322" s="341"/>
      <c r="O322" s="338">
        <f t="shared" si="151"/>
        <v>0</v>
      </c>
      <c r="P322" s="341"/>
      <c r="Q322" s="431"/>
      <c r="T322" s="418"/>
    </row>
    <row r="323" spans="3:20" ht="15" hidden="1" outlineLevel="2">
      <c r="C323" s="1464"/>
      <c r="D323" s="1464"/>
      <c r="E323" s="1459"/>
      <c r="F323" s="1462"/>
      <c r="G323" s="343"/>
      <c r="H323" s="335" t="s">
        <v>22</v>
      </c>
      <c r="I323" s="341"/>
      <c r="J323" s="341"/>
      <c r="K323" s="341"/>
      <c r="L323" s="341"/>
      <c r="M323" s="342"/>
      <c r="N323" s="341"/>
      <c r="O323" s="338">
        <f t="shared" si="151"/>
        <v>0</v>
      </c>
      <c r="P323" s="341"/>
      <c r="Q323" s="431"/>
      <c r="T323" s="418"/>
    </row>
    <row r="324" spans="3:20" ht="15" hidden="1" outlineLevel="2">
      <c r="C324" s="1464"/>
      <c r="D324" s="1464"/>
      <c r="E324" s="1459"/>
      <c r="F324" s="1462"/>
      <c r="G324" s="343"/>
      <c r="H324" s="335" t="s">
        <v>22</v>
      </c>
      <c r="I324" s="341"/>
      <c r="J324" s="341"/>
      <c r="K324" s="341"/>
      <c r="L324" s="341"/>
      <c r="M324" s="342"/>
      <c r="N324" s="341"/>
      <c r="O324" s="338">
        <f t="shared" si="151"/>
        <v>0</v>
      </c>
      <c r="P324" s="341"/>
      <c r="Q324" s="431"/>
      <c r="T324" s="418"/>
    </row>
    <row r="325" spans="3:20" ht="15" hidden="1" outlineLevel="2">
      <c r="C325" s="1464"/>
      <c r="D325" s="1464"/>
      <c r="E325" s="1459"/>
      <c r="F325" s="1462"/>
      <c r="G325" s="344"/>
      <c r="H325" s="335" t="s">
        <v>22</v>
      </c>
      <c r="I325" s="345"/>
      <c r="J325" s="345"/>
      <c r="K325" s="345"/>
      <c r="L325" s="345"/>
      <c r="M325" s="346"/>
      <c r="N325" s="345"/>
      <c r="O325" s="338">
        <f t="shared" si="151"/>
        <v>0</v>
      </c>
      <c r="P325" s="345"/>
      <c r="Q325" s="432"/>
      <c r="T325" s="418"/>
    </row>
    <row r="326" spans="3:20" ht="15" hidden="1" outlineLevel="2">
      <c r="C326" s="1464"/>
      <c r="D326" s="1464"/>
      <c r="E326" s="1459"/>
      <c r="F326" s="1462"/>
      <c r="G326" s="343"/>
      <c r="H326" s="335" t="s">
        <v>22</v>
      </c>
      <c r="I326" s="341"/>
      <c r="J326" s="341"/>
      <c r="K326" s="341"/>
      <c r="L326" s="341"/>
      <c r="M326" s="342"/>
      <c r="N326" s="341"/>
      <c r="O326" s="338">
        <f t="shared" si="151"/>
        <v>0</v>
      </c>
      <c r="P326" s="341"/>
      <c r="Q326" s="431"/>
      <c r="T326" s="418"/>
    </row>
    <row r="327" spans="3:20" ht="15" hidden="1" outlineLevel="2">
      <c r="C327" s="1464"/>
      <c r="D327" s="1464"/>
      <c r="E327" s="1459"/>
      <c r="F327" s="1462"/>
      <c r="G327" s="1454" t="s">
        <v>44</v>
      </c>
      <c r="H327" s="1455"/>
      <c r="I327" s="371">
        <f>SUM(I317:I326)</f>
        <v>0</v>
      </c>
      <c r="J327" s="371">
        <f t="shared" ref="J327:K327" si="152">SUM(J317:J326)</f>
        <v>0</v>
      </c>
      <c r="K327" s="371">
        <f t="shared" si="152"/>
        <v>0</v>
      </c>
      <c r="L327" s="371">
        <f t="shared" ref="L327" si="153">SUM(L317:L326)</f>
        <v>0</v>
      </c>
      <c r="M327" s="359"/>
      <c r="N327" s="371">
        <f>N317</f>
        <v>0</v>
      </c>
      <c r="O327" s="367">
        <f t="shared" si="151"/>
        <v>0</v>
      </c>
      <c r="P327" s="371">
        <f t="shared" ref="P327:Q327" si="154">SUM(P317:P326)</f>
        <v>0</v>
      </c>
      <c r="Q327" s="438">
        <f t="shared" si="154"/>
        <v>0</v>
      </c>
      <c r="T327" s="418"/>
    </row>
    <row r="328" spans="3:20" ht="15" hidden="1" outlineLevel="1" collapsed="1">
      <c r="C328" s="1464"/>
      <c r="D328" s="1464"/>
      <c r="E328" s="1459"/>
      <c r="F328" s="1463"/>
      <c r="G328" s="1454" t="s">
        <v>177</v>
      </c>
      <c r="H328" s="1455"/>
      <c r="I328" s="371">
        <f>(I305/usdrate)+(I316*jodrate)+I327</f>
        <v>0</v>
      </c>
      <c r="J328" s="371">
        <f>(J305/usdrate)+(J316*jodrate)+J327</f>
        <v>0</v>
      </c>
      <c r="K328" s="371">
        <f>(K305/usdrate)+(K316*jodrate)+K327</f>
        <v>0</v>
      </c>
      <c r="L328" s="371">
        <f>(L305/usdrate)+(L316*jodrate)+L327</f>
        <v>0</v>
      </c>
      <c r="M328" s="359"/>
      <c r="N328" s="371">
        <f>(N305/usdrate)+(N316*jodrate)+N327</f>
        <v>0</v>
      </c>
      <c r="O328" s="367">
        <f t="shared" si="151"/>
        <v>0</v>
      </c>
      <c r="P328" s="371">
        <f>(P305/usdrate)+(P316*jodrate)+P327</f>
        <v>0</v>
      </c>
      <c r="Q328" s="438">
        <f>(Q305/usdrate)+(Q316*jodrate)+Q327</f>
        <v>0</v>
      </c>
      <c r="T328" s="418"/>
    </row>
    <row r="329" spans="3:20" ht="15" hidden="1" outlineLevel="2">
      <c r="C329" s="1464"/>
      <c r="D329" s="1464"/>
      <c r="E329" s="1459"/>
      <c r="F329" s="1461" t="s">
        <v>171</v>
      </c>
      <c r="G329" s="353"/>
      <c r="H329" s="340" t="s">
        <v>4</v>
      </c>
      <c r="I329" s="341"/>
      <c r="J329" s="341"/>
      <c r="K329" s="370"/>
      <c r="L329" s="370"/>
      <c r="M329" s="337"/>
      <c r="N329" s="336"/>
      <c r="O329" s="338">
        <f t="shared" si="151"/>
        <v>0</v>
      </c>
      <c r="P329" s="341"/>
      <c r="Q329" s="431"/>
      <c r="T329" s="418"/>
    </row>
    <row r="330" spans="3:20" ht="15" hidden="1" outlineLevel="2">
      <c r="C330" s="1464"/>
      <c r="D330" s="1464"/>
      <c r="E330" s="1459"/>
      <c r="F330" s="1462"/>
      <c r="G330" s="343"/>
      <c r="H330" s="340" t="s">
        <v>4</v>
      </c>
      <c r="I330" s="341"/>
      <c r="J330" s="341"/>
      <c r="K330" s="341"/>
      <c r="L330" s="341"/>
      <c r="M330" s="342"/>
      <c r="N330" s="341">
        <v>0</v>
      </c>
      <c r="O330" s="338">
        <f t="shared" si="151"/>
        <v>0</v>
      </c>
      <c r="P330" s="341"/>
      <c r="Q330" s="431"/>
      <c r="T330" s="418"/>
    </row>
    <row r="331" spans="3:20" ht="15" hidden="1" outlineLevel="2">
      <c r="C331" s="1464"/>
      <c r="D331" s="1464"/>
      <c r="E331" s="1459"/>
      <c r="F331" s="1462"/>
      <c r="G331" s="343"/>
      <c r="H331" s="340" t="s">
        <v>4</v>
      </c>
      <c r="I331" s="341"/>
      <c r="J331" s="341"/>
      <c r="K331" s="341"/>
      <c r="L331" s="341"/>
      <c r="M331" s="337"/>
      <c r="N331" s="341"/>
      <c r="O331" s="338">
        <f t="shared" si="151"/>
        <v>0</v>
      </c>
      <c r="P331" s="341"/>
      <c r="Q331" s="431"/>
      <c r="T331" s="418"/>
    </row>
    <row r="332" spans="3:20" ht="15" hidden="1" outlineLevel="2">
      <c r="C332" s="1464"/>
      <c r="D332" s="1464"/>
      <c r="E332" s="1459"/>
      <c r="F332" s="1462"/>
      <c r="G332" s="343"/>
      <c r="H332" s="340" t="s">
        <v>4</v>
      </c>
      <c r="I332" s="341"/>
      <c r="J332" s="341"/>
      <c r="K332" s="341"/>
      <c r="L332" s="341"/>
      <c r="M332" s="342"/>
      <c r="N332" s="341"/>
      <c r="O332" s="338">
        <f t="shared" si="151"/>
        <v>0</v>
      </c>
      <c r="P332" s="341"/>
      <c r="Q332" s="431"/>
      <c r="T332" s="418"/>
    </row>
    <row r="333" spans="3:20" ht="15" hidden="1" outlineLevel="2">
      <c r="C333" s="1464"/>
      <c r="D333" s="1464"/>
      <c r="E333" s="1459"/>
      <c r="F333" s="1462"/>
      <c r="G333" s="343"/>
      <c r="H333" s="340" t="s">
        <v>4</v>
      </c>
      <c r="I333" s="341"/>
      <c r="J333" s="341"/>
      <c r="K333" s="341"/>
      <c r="L333" s="341"/>
      <c r="M333" s="342"/>
      <c r="N333" s="341"/>
      <c r="O333" s="338">
        <f t="shared" si="151"/>
        <v>0</v>
      </c>
      <c r="P333" s="341"/>
      <c r="Q333" s="431"/>
      <c r="T333" s="418"/>
    </row>
    <row r="334" spans="3:20" ht="15" hidden="1" outlineLevel="2">
      <c r="C334" s="1464"/>
      <c r="D334" s="1464"/>
      <c r="E334" s="1459"/>
      <c r="F334" s="1462"/>
      <c r="G334" s="343"/>
      <c r="H334" s="340" t="s">
        <v>4</v>
      </c>
      <c r="I334" s="341"/>
      <c r="J334" s="341"/>
      <c r="K334" s="341"/>
      <c r="L334" s="341"/>
      <c r="M334" s="342"/>
      <c r="N334" s="341"/>
      <c r="O334" s="338">
        <f t="shared" si="151"/>
        <v>0</v>
      </c>
      <c r="P334" s="341"/>
      <c r="Q334" s="431"/>
      <c r="T334" s="418"/>
    </row>
    <row r="335" spans="3:20" ht="15" hidden="1" outlineLevel="2">
      <c r="C335" s="1464"/>
      <c r="D335" s="1464"/>
      <c r="E335" s="1459"/>
      <c r="F335" s="1462"/>
      <c r="G335" s="343"/>
      <c r="H335" s="340" t="s">
        <v>4</v>
      </c>
      <c r="I335" s="341"/>
      <c r="J335" s="341"/>
      <c r="K335" s="341"/>
      <c r="L335" s="341"/>
      <c r="M335" s="342"/>
      <c r="N335" s="341"/>
      <c r="O335" s="338">
        <f t="shared" si="151"/>
        <v>0</v>
      </c>
      <c r="P335" s="341"/>
      <c r="Q335" s="431"/>
      <c r="T335" s="418"/>
    </row>
    <row r="336" spans="3:20" ht="15" hidden="1" outlineLevel="2">
      <c r="C336" s="1464"/>
      <c r="D336" s="1464"/>
      <c r="E336" s="1459"/>
      <c r="F336" s="1462"/>
      <c r="G336" s="343"/>
      <c r="H336" s="340" t="s">
        <v>4</v>
      </c>
      <c r="I336" s="341"/>
      <c r="J336" s="341"/>
      <c r="K336" s="341"/>
      <c r="L336" s="341"/>
      <c r="M336" s="342"/>
      <c r="N336" s="341"/>
      <c r="O336" s="338">
        <f t="shared" si="151"/>
        <v>0</v>
      </c>
      <c r="P336" s="341"/>
      <c r="Q336" s="431"/>
      <c r="T336" s="418"/>
    </row>
    <row r="337" spans="3:20" ht="15" hidden="1" outlineLevel="2">
      <c r="C337" s="1464"/>
      <c r="D337" s="1464"/>
      <c r="E337" s="1459"/>
      <c r="F337" s="1462"/>
      <c r="G337" s="344"/>
      <c r="H337" s="340" t="s">
        <v>4</v>
      </c>
      <c r="I337" s="345"/>
      <c r="J337" s="345"/>
      <c r="K337" s="345"/>
      <c r="L337" s="345"/>
      <c r="M337" s="346"/>
      <c r="N337" s="345"/>
      <c r="O337" s="338">
        <f t="shared" si="151"/>
        <v>0</v>
      </c>
      <c r="P337" s="345"/>
      <c r="Q337" s="432"/>
      <c r="T337" s="418"/>
    </row>
    <row r="338" spans="3:20" ht="15" hidden="1" outlineLevel="2">
      <c r="C338" s="1464"/>
      <c r="D338" s="1464"/>
      <c r="E338" s="1459"/>
      <c r="F338" s="1462"/>
      <c r="G338" s="343"/>
      <c r="H338" s="340" t="s">
        <v>4</v>
      </c>
      <c r="I338" s="341"/>
      <c r="J338" s="341"/>
      <c r="K338" s="341"/>
      <c r="L338" s="341"/>
      <c r="M338" s="342"/>
      <c r="N338" s="341"/>
      <c r="O338" s="338">
        <f t="shared" si="151"/>
        <v>0</v>
      </c>
      <c r="P338" s="341"/>
      <c r="Q338" s="431"/>
      <c r="T338" s="418"/>
    </row>
    <row r="339" spans="3:20" ht="15" hidden="1" outlineLevel="2">
      <c r="C339" s="1464"/>
      <c r="D339" s="1464"/>
      <c r="E339" s="1459"/>
      <c r="F339" s="1462"/>
      <c r="G339" s="1454" t="s">
        <v>45</v>
      </c>
      <c r="H339" s="1455"/>
      <c r="I339" s="371">
        <f>SUM(I329:I338)</f>
        <v>0</v>
      </c>
      <c r="J339" s="371">
        <f t="shared" ref="J339:K339" si="155">SUM(J329:J338)</f>
        <v>0</v>
      </c>
      <c r="K339" s="371">
        <f t="shared" si="155"/>
        <v>0</v>
      </c>
      <c r="L339" s="371">
        <f t="shared" ref="L339" si="156">SUM(L329:L338)</f>
        <v>0</v>
      </c>
      <c r="M339" s="359"/>
      <c r="N339" s="371">
        <f>N329</f>
        <v>0</v>
      </c>
      <c r="O339" s="367">
        <f t="shared" si="151"/>
        <v>0</v>
      </c>
      <c r="P339" s="371">
        <f t="shared" ref="P339:Q339" si="157">SUM(P329:P338)</f>
        <v>0</v>
      </c>
      <c r="Q339" s="438">
        <f t="shared" si="157"/>
        <v>0</v>
      </c>
      <c r="T339" s="418"/>
    </row>
    <row r="340" spans="3:20" ht="15" hidden="1" outlineLevel="2">
      <c r="C340" s="1464"/>
      <c r="D340" s="1464"/>
      <c r="E340" s="1459"/>
      <c r="F340" s="1462"/>
      <c r="G340" s="350"/>
      <c r="H340" s="335" t="s">
        <v>28</v>
      </c>
      <c r="I340" s="336"/>
      <c r="J340" s="336"/>
      <c r="K340" s="336"/>
      <c r="L340" s="336"/>
      <c r="M340" s="337"/>
      <c r="N340" s="336"/>
      <c r="O340" s="338">
        <f t="shared" si="151"/>
        <v>0</v>
      </c>
      <c r="P340" s="336"/>
      <c r="Q340" s="430"/>
      <c r="T340" s="418"/>
    </row>
    <row r="341" spans="3:20" ht="15" hidden="1" outlineLevel="2">
      <c r="C341" s="1464"/>
      <c r="D341" s="1464"/>
      <c r="E341" s="1459"/>
      <c r="F341" s="1462"/>
      <c r="G341" s="343"/>
      <c r="H341" s="335" t="s">
        <v>28</v>
      </c>
      <c r="I341" s="341"/>
      <c r="J341" s="341"/>
      <c r="K341" s="341"/>
      <c r="L341" s="341"/>
      <c r="M341" s="342"/>
      <c r="N341" s="341"/>
      <c r="O341" s="338">
        <f t="shared" si="151"/>
        <v>0</v>
      </c>
      <c r="P341" s="341"/>
      <c r="Q341" s="431"/>
      <c r="T341" s="418"/>
    </row>
    <row r="342" spans="3:20" ht="15" hidden="1" outlineLevel="2">
      <c r="C342" s="1464"/>
      <c r="D342" s="1464"/>
      <c r="E342" s="1459"/>
      <c r="F342" s="1462"/>
      <c r="G342" s="343"/>
      <c r="H342" s="335" t="s">
        <v>28</v>
      </c>
      <c r="I342" s="341"/>
      <c r="J342" s="341"/>
      <c r="K342" s="341"/>
      <c r="L342" s="341"/>
      <c r="M342" s="337"/>
      <c r="N342" s="341"/>
      <c r="O342" s="338">
        <f t="shared" si="151"/>
        <v>0</v>
      </c>
      <c r="P342" s="341"/>
      <c r="Q342" s="431"/>
      <c r="T342" s="418"/>
    </row>
    <row r="343" spans="3:20" ht="15" hidden="1" outlineLevel="2">
      <c r="C343" s="1464"/>
      <c r="D343" s="1464"/>
      <c r="E343" s="1459"/>
      <c r="F343" s="1462"/>
      <c r="G343" s="343"/>
      <c r="H343" s="335" t="s">
        <v>28</v>
      </c>
      <c r="I343" s="341"/>
      <c r="J343" s="341"/>
      <c r="K343" s="341"/>
      <c r="L343" s="341"/>
      <c r="M343" s="342"/>
      <c r="N343" s="341"/>
      <c r="O343" s="338">
        <f t="shared" si="151"/>
        <v>0</v>
      </c>
      <c r="P343" s="341"/>
      <c r="Q343" s="431"/>
      <c r="T343" s="418"/>
    </row>
    <row r="344" spans="3:20" ht="15" hidden="1" outlineLevel="2">
      <c r="C344" s="1464"/>
      <c r="D344" s="1464"/>
      <c r="E344" s="1459"/>
      <c r="F344" s="1462"/>
      <c r="G344" s="343"/>
      <c r="H344" s="335" t="s">
        <v>28</v>
      </c>
      <c r="I344" s="341"/>
      <c r="J344" s="341"/>
      <c r="K344" s="341"/>
      <c r="L344" s="341"/>
      <c r="M344" s="342"/>
      <c r="N344" s="341"/>
      <c r="O344" s="338">
        <f t="shared" si="151"/>
        <v>0</v>
      </c>
      <c r="P344" s="341"/>
      <c r="Q344" s="431"/>
      <c r="T344" s="418"/>
    </row>
    <row r="345" spans="3:20" ht="15" hidden="1" outlineLevel="2">
      <c r="C345" s="1464"/>
      <c r="D345" s="1464"/>
      <c r="E345" s="1459"/>
      <c r="F345" s="1462"/>
      <c r="G345" s="343"/>
      <c r="H345" s="335" t="s">
        <v>28</v>
      </c>
      <c r="I345" s="341"/>
      <c r="J345" s="341"/>
      <c r="K345" s="341"/>
      <c r="L345" s="341"/>
      <c r="M345" s="342"/>
      <c r="N345" s="341"/>
      <c r="O345" s="338">
        <f t="shared" si="151"/>
        <v>0</v>
      </c>
      <c r="P345" s="341"/>
      <c r="Q345" s="431"/>
      <c r="T345" s="418"/>
    </row>
    <row r="346" spans="3:20" ht="15" hidden="1" outlineLevel="2">
      <c r="C346" s="1464"/>
      <c r="D346" s="1464"/>
      <c r="E346" s="1459"/>
      <c r="F346" s="1462"/>
      <c r="G346" s="343"/>
      <c r="H346" s="335" t="s">
        <v>28</v>
      </c>
      <c r="I346" s="341"/>
      <c r="J346" s="341"/>
      <c r="K346" s="341"/>
      <c r="L346" s="341"/>
      <c r="M346" s="342"/>
      <c r="N346" s="341"/>
      <c r="O346" s="338">
        <f t="shared" si="151"/>
        <v>0</v>
      </c>
      <c r="P346" s="341"/>
      <c r="Q346" s="431"/>
      <c r="T346" s="418"/>
    </row>
    <row r="347" spans="3:20" ht="15" hidden="1" outlineLevel="2">
      <c r="C347" s="1464"/>
      <c r="D347" s="1464"/>
      <c r="E347" s="1459"/>
      <c r="F347" s="1462"/>
      <c r="G347" s="343"/>
      <c r="H347" s="335" t="s">
        <v>28</v>
      </c>
      <c r="I347" s="341"/>
      <c r="J347" s="341"/>
      <c r="K347" s="341"/>
      <c r="L347" s="341"/>
      <c r="M347" s="342"/>
      <c r="N347" s="341"/>
      <c r="O347" s="338">
        <f t="shared" si="151"/>
        <v>0</v>
      </c>
      <c r="P347" s="341"/>
      <c r="Q347" s="431"/>
      <c r="T347" s="418"/>
    </row>
    <row r="348" spans="3:20" ht="15" hidden="1" outlineLevel="2">
      <c r="C348" s="1464"/>
      <c r="D348" s="1464"/>
      <c r="E348" s="1459"/>
      <c r="F348" s="1462"/>
      <c r="G348" s="344"/>
      <c r="H348" s="335" t="s">
        <v>28</v>
      </c>
      <c r="I348" s="345"/>
      <c r="J348" s="345"/>
      <c r="K348" s="345"/>
      <c r="L348" s="345"/>
      <c r="M348" s="346"/>
      <c r="N348" s="345"/>
      <c r="O348" s="338">
        <f t="shared" si="151"/>
        <v>0</v>
      </c>
      <c r="P348" s="345"/>
      <c r="Q348" s="432"/>
      <c r="T348" s="418"/>
    </row>
    <row r="349" spans="3:20" ht="15" hidden="1" outlineLevel="2">
      <c r="C349" s="1464"/>
      <c r="D349" s="1464"/>
      <c r="E349" s="1459"/>
      <c r="F349" s="1462"/>
      <c r="G349" s="343"/>
      <c r="H349" s="335" t="s">
        <v>28</v>
      </c>
      <c r="I349" s="341"/>
      <c r="J349" s="341"/>
      <c r="K349" s="341"/>
      <c r="L349" s="341"/>
      <c r="M349" s="342"/>
      <c r="N349" s="341"/>
      <c r="O349" s="338">
        <f t="shared" si="151"/>
        <v>0</v>
      </c>
      <c r="P349" s="341"/>
      <c r="Q349" s="431"/>
      <c r="T349" s="418"/>
    </row>
    <row r="350" spans="3:20" ht="15" hidden="1" outlineLevel="2">
      <c r="C350" s="1464"/>
      <c r="D350" s="1464"/>
      <c r="E350" s="1459"/>
      <c r="F350" s="1462"/>
      <c r="G350" s="1454" t="s">
        <v>51</v>
      </c>
      <c r="H350" s="1455"/>
      <c r="I350" s="371">
        <f>SUM(I340:I349)</f>
        <v>0</v>
      </c>
      <c r="J350" s="371">
        <f t="shared" ref="J350:K350" si="158">SUM(J340:J349)</f>
        <v>0</v>
      </c>
      <c r="K350" s="371">
        <f t="shared" si="158"/>
        <v>0</v>
      </c>
      <c r="L350" s="371">
        <f t="shared" ref="L350" si="159">SUM(L340:L349)</f>
        <v>0</v>
      </c>
      <c r="M350" s="359"/>
      <c r="N350" s="371">
        <f>N340</f>
        <v>0</v>
      </c>
      <c r="O350" s="367">
        <f t="shared" si="151"/>
        <v>0</v>
      </c>
      <c r="P350" s="371">
        <f t="shared" ref="P350:Q350" si="160">SUM(P340:P349)</f>
        <v>0</v>
      </c>
      <c r="Q350" s="438">
        <f t="shared" si="160"/>
        <v>0</v>
      </c>
      <c r="T350" s="418"/>
    </row>
    <row r="351" spans="3:20" ht="15" hidden="1" outlineLevel="2">
      <c r="C351" s="1464"/>
      <c r="D351" s="1464"/>
      <c r="E351" s="1459"/>
      <c r="F351" s="1462"/>
      <c r="G351" s="350"/>
      <c r="H351" s="335" t="s">
        <v>22</v>
      </c>
      <c r="I351" s="336"/>
      <c r="J351" s="336"/>
      <c r="K351" s="336"/>
      <c r="L351" s="336"/>
      <c r="M351" s="337"/>
      <c r="N351" s="336"/>
      <c r="O351" s="338">
        <f t="shared" si="151"/>
        <v>0</v>
      </c>
      <c r="P351" s="336"/>
      <c r="Q351" s="430"/>
      <c r="T351" s="418"/>
    </row>
    <row r="352" spans="3:20" ht="15" hidden="1" outlineLevel="2">
      <c r="C352" s="1464"/>
      <c r="D352" s="1464"/>
      <c r="E352" s="1459"/>
      <c r="F352" s="1462"/>
      <c r="G352" s="343"/>
      <c r="H352" s="335" t="s">
        <v>22</v>
      </c>
      <c r="I352" s="341"/>
      <c r="J352" s="341"/>
      <c r="K352" s="341"/>
      <c r="L352" s="341"/>
      <c r="M352" s="342"/>
      <c r="N352" s="341"/>
      <c r="O352" s="338">
        <f t="shared" si="151"/>
        <v>0</v>
      </c>
      <c r="P352" s="341"/>
      <c r="Q352" s="431"/>
      <c r="T352" s="418"/>
    </row>
    <row r="353" spans="3:20" ht="15" hidden="1" outlineLevel="2">
      <c r="C353" s="1464"/>
      <c r="D353" s="1464"/>
      <c r="E353" s="1459"/>
      <c r="F353" s="1462"/>
      <c r="G353" s="343"/>
      <c r="H353" s="335" t="s">
        <v>22</v>
      </c>
      <c r="I353" s="341"/>
      <c r="J353" s="341"/>
      <c r="K353" s="341"/>
      <c r="L353" s="341"/>
      <c r="M353" s="337"/>
      <c r="N353" s="341"/>
      <c r="O353" s="338">
        <f t="shared" si="151"/>
        <v>0</v>
      </c>
      <c r="P353" s="341"/>
      <c r="Q353" s="431"/>
      <c r="T353" s="418"/>
    </row>
    <row r="354" spans="3:20" ht="15" hidden="1" outlineLevel="2">
      <c r="C354" s="1464"/>
      <c r="D354" s="1464"/>
      <c r="E354" s="1459"/>
      <c r="F354" s="1462"/>
      <c r="G354" s="343"/>
      <c r="H354" s="335" t="s">
        <v>22</v>
      </c>
      <c r="I354" s="341"/>
      <c r="J354" s="341"/>
      <c r="K354" s="341"/>
      <c r="L354" s="341"/>
      <c r="M354" s="342"/>
      <c r="N354" s="341"/>
      <c r="O354" s="338">
        <f t="shared" si="151"/>
        <v>0</v>
      </c>
      <c r="P354" s="341"/>
      <c r="Q354" s="431"/>
      <c r="T354" s="418"/>
    </row>
    <row r="355" spans="3:20" ht="15" hidden="1" outlineLevel="2">
      <c r="C355" s="1464"/>
      <c r="D355" s="1464"/>
      <c r="E355" s="1459"/>
      <c r="F355" s="1462"/>
      <c r="G355" s="343"/>
      <c r="H355" s="335" t="s">
        <v>22</v>
      </c>
      <c r="I355" s="341"/>
      <c r="J355" s="341"/>
      <c r="K355" s="341"/>
      <c r="L355" s="341"/>
      <c r="M355" s="342"/>
      <c r="N355" s="341"/>
      <c r="O355" s="338">
        <f t="shared" si="151"/>
        <v>0</v>
      </c>
      <c r="P355" s="341"/>
      <c r="Q355" s="431"/>
      <c r="T355" s="418"/>
    </row>
    <row r="356" spans="3:20" ht="15" hidden="1" outlineLevel="2">
      <c r="C356" s="1464"/>
      <c r="D356" s="1464"/>
      <c r="E356" s="1459"/>
      <c r="F356" s="1462"/>
      <c r="G356" s="343"/>
      <c r="H356" s="335" t="s">
        <v>22</v>
      </c>
      <c r="I356" s="341"/>
      <c r="J356" s="341"/>
      <c r="K356" s="341"/>
      <c r="L356" s="341"/>
      <c r="M356" s="342"/>
      <c r="N356" s="341"/>
      <c r="O356" s="338">
        <f t="shared" si="151"/>
        <v>0</v>
      </c>
      <c r="P356" s="341"/>
      <c r="Q356" s="431"/>
      <c r="T356" s="418"/>
    </row>
    <row r="357" spans="3:20" ht="15" hidden="1" outlineLevel="2">
      <c r="C357" s="1464"/>
      <c r="D357" s="1464"/>
      <c r="E357" s="1459"/>
      <c r="F357" s="1462"/>
      <c r="G357" s="343"/>
      <c r="H357" s="335" t="s">
        <v>22</v>
      </c>
      <c r="I357" s="341"/>
      <c r="J357" s="341"/>
      <c r="K357" s="341"/>
      <c r="L357" s="341"/>
      <c r="M357" s="342"/>
      <c r="N357" s="341"/>
      <c r="O357" s="338">
        <f t="shared" si="151"/>
        <v>0</v>
      </c>
      <c r="P357" s="341"/>
      <c r="Q357" s="431"/>
      <c r="T357" s="418"/>
    </row>
    <row r="358" spans="3:20" ht="15" hidden="1" outlineLevel="2">
      <c r="C358" s="1464"/>
      <c r="D358" s="1464"/>
      <c r="E358" s="1459"/>
      <c r="F358" s="1462"/>
      <c r="G358" s="343"/>
      <c r="H358" s="335" t="s">
        <v>22</v>
      </c>
      <c r="I358" s="341"/>
      <c r="J358" s="341"/>
      <c r="K358" s="341"/>
      <c r="L358" s="341"/>
      <c r="M358" s="342"/>
      <c r="N358" s="341"/>
      <c r="O358" s="338">
        <f t="shared" si="151"/>
        <v>0</v>
      </c>
      <c r="P358" s="341"/>
      <c r="Q358" s="431"/>
      <c r="T358" s="418"/>
    </row>
    <row r="359" spans="3:20" ht="15" hidden="1" outlineLevel="2">
      <c r="C359" s="1464"/>
      <c r="D359" s="1464"/>
      <c r="E359" s="1459"/>
      <c r="F359" s="1462"/>
      <c r="G359" s="344"/>
      <c r="H359" s="335" t="s">
        <v>22</v>
      </c>
      <c r="I359" s="345"/>
      <c r="J359" s="345"/>
      <c r="K359" s="345"/>
      <c r="L359" s="345"/>
      <c r="M359" s="346"/>
      <c r="N359" s="345"/>
      <c r="O359" s="338">
        <f t="shared" si="151"/>
        <v>0</v>
      </c>
      <c r="P359" s="345"/>
      <c r="Q359" s="432"/>
      <c r="T359" s="418"/>
    </row>
    <row r="360" spans="3:20" ht="15" hidden="1" outlineLevel="2">
      <c r="C360" s="1464"/>
      <c r="D360" s="1464"/>
      <c r="E360" s="1459"/>
      <c r="F360" s="1462"/>
      <c r="G360" s="343"/>
      <c r="H360" s="335" t="s">
        <v>22</v>
      </c>
      <c r="I360" s="341"/>
      <c r="J360" s="341"/>
      <c r="K360" s="341"/>
      <c r="L360" s="341"/>
      <c r="M360" s="342"/>
      <c r="N360" s="341"/>
      <c r="O360" s="338">
        <f t="shared" si="151"/>
        <v>0</v>
      </c>
      <c r="P360" s="341"/>
      <c r="Q360" s="431"/>
      <c r="T360" s="418"/>
    </row>
    <row r="361" spans="3:20" ht="15" hidden="1" outlineLevel="2">
      <c r="C361" s="1464"/>
      <c r="D361" s="1464"/>
      <c r="E361" s="1459"/>
      <c r="F361" s="1462"/>
      <c r="G361" s="1454" t="s">
        <v>44</v>
      </c>
      <c r="H361" s="1455"/>
      <c r="I361" s="371">
        <f>SUM(I351:I360)</f>
        <v>0</v>
      </c>
      <c r="J361" s="371">
        <f t="shared" ref="J361:K361" si="161">SUM(J351:J360)</f>
        <v>0</v>
      </c>
      <c r="K361" s="371">
        <f t="shared" si="161"/>
        <v>0</v>
      </c>
      <c r="L361" s="371">
        <f t="shared" ref="L361" si="162">SUM(L351:L360)</f>
        <v>0</v>
      </c>
      <c r="M361" s="359"/>
      <c r="N361" s="371">
        <f>N351</f>
        <v>0</v>
      </c>
      <c r="O361" s="367">
        <f t="shared" si="151"/>
        <v>0</v>
      </c>
      <c r="P361" s="371">
        <f t="shared" ref="P361:Q361" si="163">SUM(P351:P360)</f>
        <v>0</v>
      </c>
      <c r="Q361" s="438">
        <f t="shared" si="163"/>
        <v>0</v>
      </c>
      <c r="T361" s="418"/>
    </row>
    <row r="362" spans="3:20" ht="15" hidden="1" outlineLevel="1" collapsed="1">
      <c r="C362" s="1464"/>
      <c r="D362" s="1464"/>
      <c r="E362" s="1459"/>
      <c r="F362" s="1463"/>
      <c r="G362" s="1454" t="s">
        <v>177</v>
      </c>
      <c r="H362" s="1455"/>
      <c r="I362" s="371">
        <f>(I339/usdrate)+(I350*jodrate)+I361</f>
        <v>0</v>
      </c>
      <c r="J362" s="371">
        <f>(J339/usdrate)+(J350*jodrate)+J361</f>
        <v>0</v>
      </c>
      <c r="K362" s="371">
        <f>(K339/usdrate)+(K350*jodrate)+K361</f>
        <v>0</v>
      </c>
      <c r="L362" s="371">
        <f>(L339/usdrate)+(L350*jodrate)+L361</f>
        <v>0</v>
      </c>
      <c r="M362" s="359"/>
      <c r="N362" s="371">
        <f>(N339/usdrate)+(N350*jodrate)+N361</f>
        <v>0</v>
      </c>
      <c r="O362" s="367">
        <f t="shared" si="151"/>
        <v>0</v>
      </c>
      <c r="P362" s="371">
        <f>(P339/usdrate)+(P350*jodrate)+P361</f>
        <v>0</v>
      </c>
      <c r="Q362" s="438">
        <f>(Q339/usdrate)+(Q350*jodrate)+Q361</f>
        <v>0</v>
      </c>
      <c r="T362" s="418"/>
    </row>
    <row r="363" spans="3:20" ht="15" hidden="1" outlineLevel="3">
      <c r="C363" s="1464"/>
      <c r="D363" s="1464"/>
      <c r="E363" s="1459"/>
      <c r="F363" s="1461" t="s">
        <v>172</v>
      </c>
      <c r="G363" s="350"/>
      <c r="H363" s="335" t="s">
        <v>28</v>
      </c>
      <c r="I363" s="336"/>
      <c r="J363" s="336"/>
      <c r="K363" s="336"/>
      <c r="L363" s="336"/>
      <c r="M363" s="337"/>
      <c r="N363" s="336"/>
      <c r="O363" s="338">
        <f t="shared" si="151"/>
        <v>0</v>
      </c>
      <c r="P363" s="336"/>
      <c r="Q363" s="430"/>
      <c r="T363" s="418"/>
    </row>
    <row r="364" spans="3:20" ht="15" hidden="1" outlineLevel="3">
      <c r="C364" s="1464"/>
      <c r="D364" s="1464"/>
      <c r="E364" s="1459"/>
      <c r="F364" s="1462"/>
      <c r="G364" s="343"/>
      <c r="H364" s="335" t="s">
        <v>28</v>
      </c>
      <c r="I364" s="341"/>
      <c r="J364" s="341"/>
      <c r="K364" s="341"/>
      <c r="L364" s="341"/>
      <c r="M364" s="342"/>
      <c r="N364" s="341"/>
      <c r="O364" s="338">
        <f t="shared" si="151"/>
        <v>0</v>
      </c>
      <c r="P364" s="341"/>
      <c r="Q364" s="431"/>
      <c r="T364" s="418"/>
    </row>
    <row r="365" spans="3:20" ht="15" hidden="1" outlineLevel="3">
      <c r="C365" s="1464"/>
      <c r="D365" s="1464"/>
      <c r="E365" s="1459"/>
      <c r="F365" s="1462"/>
      <c r="G365" s="343"/>
      <c r="H365" s="335" t="s">
        <v>28</v>
      </c>
      <c r="I365" s="341"/>
      <c r="J365" s="341"/>
      <c r="K365" s="341"/>
      <c r="L365" s="341"/>
      <c r="M365" s="337"/>
      <c r="N365" s="341"/>
      <c r="O365" s="338">
        <f t="shared" si="151"/>
        <v>0</v>
      </c>
      <c r="P365" s="341"/>
      <c r="Q365" s="431"/>
      <c r="T365" s="418"/>
    </row>
    <row r="366" spans="3:20" ht="15" hidden="1" outlineLevel="3">
      <c r="C366" s="1464"/>
      <c r="D366" s="1464"/>
      <c r="E366" s="1459"/>
      <c r="F366" s="1462"/>
      <c r="G366" s="343"/>
      <c r="H366" s="335" t="s">
        <v>28</v>
      </c>
      <c r="I366" s="341"/>
      <c r="J366" s="341"/>
      <c r="K366" s="341"/>
      <c r="L366" s="341"/>
      <c r="M366" s="342"/>
      <c r="N366" s="341"/>
      <c r="O366" s="338">
        <f t="shared" si="151"/>
        <v>0</v>
      </c>
      <c r="P366" s="341"/>
      <c r="Q366" s="431"/>
      <c r="T366" s="418"/>
    </row>
    <row r="367" spans="3:20" ht="15" hidden="1" outlineLevel="3">
      <c r="C367" s="1464"/>
      <c r="D367" s="1464"/>
      <c r="E367" s="1459"/>
      <c r="F367" s="1462"/>
      <c r="G367" s="343"/>
      <c r="H367" s="335" t="s">
        <v>28</v>
      </c>
      <c r="I367" s="341"/>
      <c r="J367" s="341"/>
      <c r="K367" s="341"/>
      <c r="L367" s="341"/>
      <c r="M367" s="342"/>
      <c r="N367" s="341"/>
      <c r="O367" s="338">
        <f t="shared" si="151"/>
        <v>0</v>
      </c>
      <c r="P367" s="341"/>
      <c r="Q367" s="431"/>
      <c r="T367" s="418"/>
    </row>
    <row r="368" spans="3:20" ht="15" hidden="1" outlineLevel="3">
      <c r="C368" s="1464"/>
      <c r="D368" s="1464"/>
      <c r="E368" s="1459"/>
      <c r="F368" s="1462"/>
      <c r="G368" s="343"/>
      <c r="H368" s="335" t="s">
        <v>28</v>
      </c>
      <c r="I368" s="341"/>
      <c r="J368" s="341"/>
      <c r="K368" s="341"/>
      <c r="L368" s="341"/>
      <c r="M368" s="342"/>
      <c r="N368" s="341"/>
      <c r="O368" s="338">
        <f t="shared" si="151"/>
        <v>0</v>
      </c>
      <c r="P368" s="341"/>
      <c r="Q368" s="431"/>
      <c r="T368" s="418"/>
    </row>
    <row r="369" spans="3:20" ht="15" hidden="1" outlineLevel="3">
      <c r="C369" s="1464"/>
      <c r="D369" s="1464"/>
      <c r="E369" s="1459"/>
      <c r="F369" s="1462"/>
      <c r="G369" s="343"/>
      <c r="H369" s="335" t="s">
        <v>28</v>
      </c>
      <c r="I369" s="341"/>
      <c r="J369" s="341"/>
      <c r="K369" s="341"/>
      <c r="L369" s="341"/>
      <c r="M369" s="342"/>
      <c r="N369" s="341"/>
      <c r="O369" s="338">
        <f t="shared" si="151"/>
        <v>0</v>
      </c>
      <c r="P369" s="341"/>
      <c r="Q369" s="431"/>
      <c r="T369" s="418"/>
    </row>
    <row r="370" spans="3:20" ht="15" hidden="1" outlineLevel="3">
      <c r="C370" s="1464"/>
      <c r="D370" s="1464"/>
      <c r="E370" s="1459"/>
      <c r="F370" s="1462"/>
      <c r="G370" s="343"/>
      <c r="H370" s="335" t="s">
        <v>28</v>
      </c>
      <c r="I370" s="341"/>
      <c r="J370" s="341"/>
      <c r="K370" s="341"/>
      <c r="L370" s="341"/>
      <c r="M370" s="342"/>
      <c r="N370" s="341"/>
      <c r="O370" s="338">
        <f t="shared" si="151"/>
        <v>0</v>
      </c>
      <c r="P370" s="341"/>
      <c r="Q370" s="431"/>
      <c r="T370" s="418"/>
    </row>
    <row r="371" spans="3:20" ht="15" hidden="1" outlineLevel="3">
      <c r="C371" s="1464"/>
      <c r="D371" s="1464"/>
      <c r="E371" s="1459"/>
      <c r="F371" s="1462"/>
      <c r="G371" s="344"/>
      <c r="H371" s="335" t="s">
        <v>28</v>
      </c>
      <c r="I371" s="345"/>
      <c r="J371" s="345"/>
      <c r="K371" s="345"/>
      <c r="L371" s="345"/>
      <c r="M371" s="346"/>
      <c r="N371" s="345"/>
      <c r="O371" s="338">
        <f t="shared" si="151"/>
        <v>0</v>
      </c>
      <c r="P371" s="345"/>
      <c r="Q371" s="432"/>
      <c r="T371" s="418"/>
    </row>
    <row r="372" spans="3:20" ht="15" hidden="1" outlineLevel="3">
      <c r="C372" s="1464"/>
      <c r="D372" s="1464"/>
      <c r="E372" s="1459"/>
      <c r="F372" s="1462"/>
      <c r="G372" s="343"/>
      <c r="H372" s="335" t="s">
        <v>28</v>
      </c>
      <c r="I372" s="341"/>
      <c r="J372" s="341"/>
      <c r="K372" s="341"/>
      <c r="L372" s="341"/>
      <c r="M372" s="342"/>
      <c r="N372" s="341"/>
      <c r="O372" s="338">
        <f t="shared" si="151"/>
        <v>0</v>
      </c>
      <c r="P372" s="341"/>
      <c r="Q372" s="431"/>
      <c r="T372" s="418"/>
    </row>
    <row r="373" spans="3:20" ht="15" hidden="1" outlineLevel="3">
      <c r="C373" s="1464"/>
      <c r="D373" s="1464"/>
      <c r="E373" s="1459"/>
      <c r="F373" s="1462"/>
      <c r="G373" s="1454" t="s">
        <v>51</v>
      </c>
      <c r="H373" s="1455"/>
      <c r="I373" s="371">
        <f>SUM(I363:I372)</f>
        <v>0</v>
      </c>
      <c r="J373" s="371">
        <f t="shared" ref="J373:K373" si="164">SUM(J363:J372)</f>
        <v>0</v>
      </c>
      <c r="K373" s="371">
        <f t="shared" si="164"/>
        <v>0</v>
      </c>
      <c r="L373" s="371">
        <f t="shared" ref="L373" si="165">SUM(L363:L372)</f>
        <v>0</v>
      </c>
      <c r="M373" s="359"/>
      <c r="N373" s="371">
        <f>N363</f>
        <v>0</v>
      </c>
      <c r="O373" s="367">
        <f t="shared" si="151"/>
        <v>0</v>
      </c>
      <c r="P373" s="371">
        <f t="shared" ref="P373:Q373" si="166">SUM(P363:P372)</f>
        <v>0</v>
      </c>
      <c r="Q373" s="438">
        <f t="shared" si="166"/>
        <v>0</v>
      </c>
      <c r="T373" s="418"/>
    </row>
    <row r="374" spans="3:20" ht="15" hidden="1" outlineLevel="3">
      <c r="C374" s="1464"/>
      <c r="D374" s="1464"/>
      <c r="E374" s="1459"/>
      <c r="F374" s="1462"/>
      <c r="G374" s="350"/>
      <c r="H374" s="335" t="s">
        <v>22</v>
      </c>
      <c r="I374" s="336"/>
      <c r="J374" s="336"/>
      <c r="K374" s="336"/>
      <c r="L374" s="336"/>
      <c r="M374" s="337"/>
      <c r="N374" s="336"/>
      <c r="O374" s="338">
        <f t="shared" si="151"/>
        <v>0</v>
      </c>
      <c r="P374" s="336"/>
      <c r="Q374" s="430"/>
      <c r="T374" s="418"/>
    </row>
    <row r="375" spans="3:20" ht="15" hidden="1" outlineLevel="3">
      <c r="C375" s="1464"/>
      <c r="D375" s="1464"/>
      <c r="E375" s="1459"/>
      <c r="F375" s="1462"/>
      <c r="G375" s="343"/>
      <c r="H375" s="335" t="s">
        <v>22</v>
      </c>
      <c r="I375" s="341"/>
      <c r="J375" s="341"/>
      <c r="K375" s="341"/>
      <c r="L375" s="341"/>
      <c r="M375" s="342"/>
      <c r="N375" s="341"/>
      <c r="O375" s="338">
        <f t="shared" si="151"/>
        <v>0</v>
      </c>
      <c r="P375" s="341"/>
      <c r="Q375" s="431"/>
      <c r="T375" s="418"/>
    </row>
    <row r="376" spans="3:20" ht="15" hidden="1" outlineLevel="3">
      <c r="C376" s="1464"/>
      <c r="D376" s="1464"/>
      <c r="E376" s="1459"/>
      <c r="F376" s="1462"/>
      <c r="G376" s="343"/>
      <c r="H376" s="335" t="s">
        <v>22</v>
      </c>
      <c r="I376" s="341"/>
      <c r="J376" s="341"/>
      <c r="K376" s="341"/>
      <c r="L376" s="341"/>
      <c r="M376" s="337"/>
      <c r="N376" s="341"/>
      <c r="O376" s="338">
        <f t="shared" si="151"/>
        <v>0</v>
      </c>
      <c r="P376" s="341"/>
      <c r="Q376" s="431"/>
      <c r="T376" s="418"/>
    </row>
    <row r="377" spans="3:20" ht="15" hidden="1" outlineLevel="3">
      <c r="C377" s="1464"/>
      <c r="D377" s="1464"/>
      <c r="E377" s="1459"/>
      <c r="F377" s="1462"/>
      <c r="G377" s="343"/>
      <c r="H377" s="335" t="s">
        <v>22</v>
      </c>
      <c r="I377" s="341"/>
      <c r="J377" s="341"/>
      <c r="K377" s="341"/>
      <c r="L377" s="341"/>
      <c r="M377" s="342"/>
      <c r="N377" s="341"/>
      <c r="O377" s="338">
        <f t="shared" si="151"/>
        <v>0</v>
      </c>
      <c r="P377" s="341"/>
      <c r="Q377" s="431"/>
      <c r="T377" s="418"/>
    </row>
    <row r="378" spans="3:20" ht="15" hidden="1" outlineLevel="3">
      <c r="C378" s="1464"/>
      <c r="D378" s="1464"/>
      <c r="E378" s="1459"/>
      <c r="F378" s="1462"/>
      <c r="G378" s="343"/>
      <c r="H378" s="335" t="s">
        <v>22</v>
      </c>
      <c r="I378" s="341"/>
      <c r="J378" s="341"/>
      <c r="K378" s="341"/>
      <c r="L378" s="341"/>
      <c r="M378" s="342"/>
      <c r="N378" s="341"/>
      <c r="O378" s="338">
        <f t="shared" si="151"/>
        <v>0</v>
      </c>
      <c r="P378" s="341"/>
      <c r="Q378" s="431"/>
      <c r="T378" s="418"/>
    </row>
    <row r="379" spans="3:20" ht="15" hidden="1" outlineLevel="3">
      <c r="C379" s="1464"/>
      <c r="D379" s="1464"/>
      <c r="E379" s="1459"/>
      <c r="F379" s="1462"/>
      <c r="G379" s="343"/>
      <c r="H379" s="335" t="s">
        <v>22</v>
      </c>
      <c r="I379" s="341"/>
      <c r="J379" s="341"/>
      <c r="K379" s="341"/>
      <c r="L379" s="341"/>
      <c r="M379" s="342"/>
      <c r="N379" s="341"/>
      <c r="O379" s="338">
        <f t="shared" si="151"/>
        <v>0</v>
      </c>
      <c r="P379" s="341"/>
      <c r="Q379" s="431"/>
      <c r="T379" s="418"/>
    </row>
    <row r="380" spans="3:20" ht="15" hidden="1" outlineLevel="3">
      <c r="C380" s="1464"/>
      <c r="D380" s="1464"/>
      <c r="E380" s="1459"/>
      <c r="F380" s="1462"/>
      <c r="G380" s="343"/>
      <c r="H380" s="335" t="s">
        <v>22</v>
      </c>
      <c r="I380" s="341"/>
      <c r="J380" s="341"/>
      <c r="K380" s="341"/>
      <c r="L380" s="341"/>
      <c r="M380" s="342"/>
      <c r="N380" s="341"/>
      <c r="O380" s="338">
        <f t="shared" si="151"/>
        <v>0</v>
      </c>
      <c r="P380" s="341"/>
      <c r="Q380" s="431"/>
      <c r="T380" s="418"/>
    </row>
    <row r="381" spans="3:20" ht="15" hidden="1" outlineLevel="3">
      <c r="C381" s="1464"/>
      <c r="D381" s="1464"/>
      <c r="E381" s="1459"/>
      <c r="F381" s="1462"/>
      <c r="G381" s="343"/>
      <c r="H381" s="335" t="s">
        <v>22</v>
      </c>
      <c r="I381" s="341"/>
      <c r="J381" s="341"/>
      <c r="K381" s="341"/>
      <c r="L381" s="341"/>
      <c r="M381" s="342"/>
      <c r="N381" s="341"/>
      <c r="O381" s="338">
        <f t="shared" si="151"/>
        <v>0</v>
      </c>
      <c r="P381" s="341"/>
      <c r="Q381" s="431"/>
      <c r="T381" s="418"/>
    </row>
    <row r="382" spans="3:20" ht="15" hidden="1" outlineLevel="3">
      <c r="C382" s="1464"/>
      <c r="D382" s="1464"/>
      <c r="E382" s="1459"/>
      <c r="F382" s="1462"/>
      <c r="G382" s="344"/>
      <c r="H382" s="335" t="s">
        <v>22</v>
      </c>
      <c r="I382" s="345"/>
      <c r="J382" s="345"/>
      <c r="K382" s="345"/>
      <c r="L382" s="345"/>
      <c r="M382" s="346"/>
      <c r="N382" s="345"/>
      <c r="O382" s="338">
        <f t="shared" si="151"/>
        <v>0</v>
      </c>
      <c r="P382" s="345"/>
      <c r="Q382" s="432"/>
      <c r="T382" s="418"/>
    </row>
    <row r="383" spans="3:20" ht="15" hidden="1" outlineLevel="3">
      <c r="C383" s="1464"/>
      <c r="D383" s="1464"/>
      <c r="E383" s="1459"/>
      <c r="F383" s="1462"/>
      <c r="G383" s="343"/>
      <c r="H383" s="335" t="s">
        <v>22</v>
      </c>
      <c r="I383" s="341"/>
      <c r="J383" s="341"/>
      <c r="K383" s="341"/>
      <c r="L383" s="341"/>
      <c r="M383" s="342"/>
      <c r="N383" s="341"/>
      <c r="O383" s="338">
        <f t="shared" si="151"/>
        <v>0</v>
      </c>
      <c r="P383" s="341"/>
      <c r="Q383" s="431"/>
      <c r="T383" s="418"/>
    </row>
    <row r="384" spans="3:20" ht="15" hidden="1" outlineLevel="3">
      <c r="C384" s="1464"/>
      <c r="D384" s="1464"/>
      <c r="E384" s="1459"/>
      <c r="F384" s="1462"/>
      <c r="G384" s="1454" t="s">
        <v>44</v>
      </c>
      <c r="H384" s="1455"/>
      <c r="I384" s="371">
        <f>SUM(I374:I383)</f>
        <v>0</v>
      </c>
      <c r="J384" s="371">
        <f t="shared" ref="J384:K384" si="167">SUM(J374:J383)</f>
        <v>0</v>
      </c>
      <c r="K384" s="371">
        <f t="shared" si="167"/>
        <v>0</v>
      </c>
      <c r="L384" s="371">
        <f t="shared" ref="L384" si="168">SUM(L374:L383)</f>
        <v>0</v>
      </c>
      <c r="M384" s="359"/>
      <c r="N384" s="371">
        <f>N374</f>
        <v>0</v>
      </c>
      <c r="O384" s="367">
        <f t="shared" ref="O384:O397" si="169">IF(N384=0,0,N384/J384)</f>
        <v>0</v>
      </c>
      <c r="P384" s="371">
        <f t="shared" ref="P384:Q384" si="170">SUM(P374:P383)</f>
        <v>0</v>
      </c>
      <c r="Q384" s="438">
        <f t="shared" si="170"/>
        <v>0</v>
      </c>
      <c r="T384" s="418"/>
    </row>
    <row r="385" spans="3:26" ht="15" hidden="1" outlineLevel="2" collapsed="1">
      <c r="C385" s="1464"/>
      <c r="D385" s="1464"/>
      <c r="E385" s="1459"/>
      <c r="F385" s="1463"/>
      <c r="G385" s="1454" t="s">
        <v>177</v>
      </c>
      <c r="H385" s="1455"/>
      <c r="I385" s="371">
        <f>(I373*jodrate)+I384</f>
        <v>0</v>
      </c>
      <c r="J385" s="371">
        <f>(J373*jodrate)+J384</f>
        <v>0</v>
      </c>
      <c r="K385" s="371">
        <f>(K373*jodrate)+K384</f>
        <v>0</v>
      </c>
      <c r="L385" s="371">
        <f>(L373*jodrate)+L384</f>
        <v>0</v>
      </c>
      <c r="M385" s="359"/>
      <c r="N385" s="371">
        <f>(N373*jodrate)+N384</f>
        <v>0</v>
      </c>
      <c r="O385" s="367">
        <f t="shared" si="169"/>
        <v>0</v>
      </c>
      <c r="P385" s="371">
        <f>(P373*jodrate)+P384</f>
        <v>0</v>
      </c>
      <c r="Q385" s="438">
        <f>(Q373*jodrate)+Q384</f>
        <v>0</v>
      </c>
      <c r="T385" s="418"/>
    </row>
    <row r="386" spans="3:26" ht="15.75" collapsed="1" thickBot="1">
      <c r="C386" s="1465"/>
      <c r="D386" s="1465"/>
      <c r="E386" s="1460"/>
      <c r="F386" s="1456" t="s">
        <v>176</v>
      </c>
      <c r="G386" s="1457"/>
      <c r="H386" s="1457"/>
      <c r="I386" s="372">
        <f>I194+I260+I294+I328+I362+I385</f>
        <v>0</v>
      </c>
      <c r="J386" s="372">
        <f t="shared" ref="J386:K386" si="171">J194+J260+J294+J328+J362+J385</f>
        <v>0</v>
      </c>
      <c r="K386" s="372">
        <f t="shared" si="171"/>
        <v>0</v>
      </c>
      <c r="L386" s="372">
        <f t="shared" ref="L386" si="172">L194+L260+L294+L328+L362+L385</f>
        <v>0</v>
      </c>
      <c r="M386" s="372"/>
      <c r="N386" s="372">
        <f t="shared" ref="N386" si="173">N194+N260+N294+N328+N362+N385</f>
        <v>0</v>
      </c>
      <c r="O386" s="373">
        <f t="shared" si="169"/>
        <v>0</v>
      </c>
      <c r="P386" s="372">
        <f t="shared" ref="P386:Q386" si="174">P194+P260+P294+P328+P362+P385</f>
        <v>0</v>
      </c>
      <c r="Q386" s="439">
        <f t="shared" si="174"/>
        <v>0</v>
      </c>
      <c r="T386" s="418"/>
    </row>
    <row r="387" spans="3:26" ht="15.75" hidden="1" outlineLevel="2" thickTop="1">
      <c r="C387" s="1485">
        <f>التوصية!$B$49</f>
        <v>0</v>
      </c>
      <c r="D387" s="1490"/>
      <c r="E387" s="1476" t="s">
        <v>167</v>
      </c>
      <c r="F387" s="1478" t="s">
        <v>169</v>
      </c>
      <c r="G387" s="374"/>
      <c r="H387" s="375" t="s">
        <v>4</v>
      </c>
      <c r="I387" s="376"/>
      <c r="J387" s="376"/>
      <c r="K387" s="377" t="e">
        <f t="shared" ref="K387:L388" si="175">Z387</f>
        <v>#DIV/0!</v>
      </c>
      <c r="L387" s="377">
        <f t="shared" si="175"/>
        <v>0</v>
      </c>
      <c r="M387" s="378"/>
      <c r="N387" s="376"/>
      <c r="O387" s="379">
        <f t="shared" si="169"/>
        <v>0</v>
      </c>
      <c r="P387" s="376"/>
      <c r="Q387" s="440"/>
      <c r="R387" s="28">
        <f t="shared" ref="R387:R419" si="176">IF(H387="USD",$B$4,IF(H387="ILS",$B$2,IF(H387="JOD",$B$3,"")))</f>
        <v>0.05</v>
      </c>
      <c r="S387" s="17">
        <f t="shared" ref="S387:S396" si="177">R387*J387</f>
        <v>0</v>
      </c>
      <c r="T387" s="419">
        <f t="shared" ref="T387:T396" si="178">R387*I387</f>
        <v>0</v>
      </c>
      <c r="U387" s="43"/>
      <c r="V387" s="44">
        <f t="shared" ref="V387:V418" si="179">U387/12</f>
        <v>0</v>
      </c>
      <c r="W387" s="35">
        <f t="shared" ref="W387" si="180">T387*V387</f>
        <v>0</v>
      </c>
      <c r="X387" s="35"/>
      <c r="Y387" s="45">
        <f t="shared" ref="Y387:Y396" si="181">I387+W387</f>
        <v>0</v>
      </c>
      <c r="Z387" s="45" t="e">
        <f t="shared" ref="Z387" si="182">Y387/U387</f>
        <v>#DIV/0!</v>
      </c>
    </row>
    <row r="388" spans="3:26" ht="15" hidden="1" outlineLevel="2">
      <c r="C388" s="1486"/>
      <c r="D388" s="1464"/>
      <c r="E388" s="1466"/>
      <c r="F388" s="1468"/>
      <c r="G388" s="343"/>
      <c r="H388" s="335" t="s">
        <v>4</v>
      </c>
      <c r="I388" s="341"/>
      <c r="J388" s="341"/>
      <c r="K388" s="341" t="e">
        <f t="shared" si="175"/>
        <v>#DIV/0!</v>
      </c>
      <c r="L388" s="341">
        <f t="shared" si="175"/>
        <v>0</v>
      </c>
      <c r="M388" s="342"/>
      <c r="N388" s="341"/>
      <c r="O388" s="338">
        <f t="shared" si="169"/>
        <v>0</v>
      </c>
      <c r="P388" s="341"/>
      <c r="Q388" s="431"/>
      <c r="R388" s="28">
        <f t="shared" si="176"/>
        <v>0.05</v>
      </c>
      <c r="S388" s="17">
        <f t="shared" si="177"/>
        <v>0</v>
      </c>
      <c r="T388" s="419">
        <f t="shared" si="178"/>
        <v>0</v>
      </c>
      <c r="U388" s="43"/>
      <c r="V388" s="44">
        <f t="shared" si="179"/>
        <v>0</v>
      </c>
      <c r="W388" s="35">
        <f t="shared" ref="W388:W418" si="183">T388*V388</f>
        <v>0</v>
      </c>
      <c r="X388" s="35"/>
      <c r="Y388" s="45">
        <f t="shared" si="181"/>
        <v>0</v>
      </c>
      <c r="Z388" s="45" t="e">
        <f t="shared" ref="Z388:Z418" si="184">Y388/U388</f>
        <v>#DIV/0!</v>
      </c>
    </row>
    <row r="389" spans="3:26" ht="15" hidden="1" outlineLevel="2">
      <c r="C389" s="1486"/>
      <c r="D389" s="1464"/>
      <c r="E389" s="1466"/>
      <c r="F389" s="1468"/>
      <c r="G389" s="343"/>
      <c r="H389" s="335" t="s">
        <v>4</v>
      </c>
      <c r="I389" s="341"/>
      <c r="J389" s="341"/>
      <c r="K389" s="341" t="e">
        <f t="shared" ref="K389:L396" si="185">Z389</f>
        <v>#DIV/0!</v>
      </c>
      <c r="L389" s="341">
        <f t="shared" si="185"/>
        <v>0</v>
      </c>
      <c r="M389" s="337"/>
      <c r="N389" s="341"/>
      <c r="O389" s="338">
        <f t="shared" si="169"/>
        <v>0</v>
      </c>
      <c r="P389" s="341"/>
      <c r="Q389" s="431"/>
      <c r="R389" s="28">
        <f t="shared" si="176"/>
        <v>0.05</v>
      </c>
      <c r="S389" s="17">
        <f t="shared" si="177"/>
        <v>0</v>
      </c>
      <c r="T389" s="419">
        <f t="shared" si="178"/>
        <v>0</v>
      </c>
      <c r="U389" s="43"/>
      <c r="V389" s="44">
        <f t="shared" si="179"/>
        <v>0</v>
      </c>
      <c r="W389" s="35">
        <f t="shared" si="183"/>
        <v>0</v>
      </c>
      <c r="X389" s="35"/>
      <c r="Y389" s="45">
        <f t="shared" si="181"/>
        <v>0</v>
      </c>
      <c r="Z389" s="45" t="e">
        <f t="shared" si="184"/>
        <v>#DIV/0!</v>
      </c>
    </row>
    <row r="390" spans="3:26" ht="15" hidden="1" outlineLevel="2">
      <c r="C390" s="1486"/>
      <c r="D390" s="1464"/>
      <c r="E390" s="1466"/>
      <c r="F390" s="1468"/>
      <c r="G390" s="343"/>
      <c r="H390" s="335" t="s">
        <v>4</v>
      </c>
      <c r="I390" s="341"/>
      <c r="J390" s="341"/>
      <c r="K390" s="341" t="e">
        <f t="shared" si="185"/>
        <v>#DIV/0!</v>
      </c>
      <c r="L390" s="341">
        <f t="shared" si="185"/>
        <v>0</v>
      </c>
      <c r="M390" s="342"/>
      <c r="N390" s="341"/>
      <c r="O390" s="338">
        <f t="shared" si="169"/>
        <v>0</v>
      </c>
      <c r="P390" s="341"/>
      <c r="Q390" s="431"/>
      <c r="R390" s="28">
        <f t="shared" si="176"/>
        <v>0.05</v>
      </c>
      <c r="S390" s="17">
        <f t="shared" si="177"/>
        <v>0</v>
      </c>
      <c r="T390" s="419">
        <f t="shared" si="178"/>
        <v>0</v>
      </c>
      <c r="U390" s="43"/>
      <c r="V390" s="44">
        <f t="shared" si="179"/>
        <v>0</v>
      </c>
      <c r="W390" s="35">
        <f t="shared" si="183"/>
        <v>0</v>
      </c>
      <c r="X390" s="35"/>
      <c r="Y390" s="45">
        <f t="shared" si="181"/>
        <v>0</v>
      </c>
      <c r="Z390" s="45" t="e">
        <f t="shared" si="184"/>
        <v>#DIV/0!</v>
      </c>
    </row>
    <row r="391" spans="3:26" ht="15" hidden="1" outlineLevel="2">
      <c r="C391" s="1486"/>
      <c r="D391" s="1464"/>
      <c r="E391" s="1466"/>
      <c r="F391" s="1468"/>
      <c r="G391" s="343"/>
      <c r="H391" s="335" t="s">
        <v>4</v>
      </c>
      <c r="I391" s="341"/>
      <c r="J391" s="341"/>
      <c r="K391" s="341" t="e">
        <f t="shared" si="185"/>
        <v>#DIV/0!</v>
      </c>
      <c r="L391" s="341">
        <f t="shared" si="185"/>
        <v>0</v>
      </c>
      <c r="M391" s="342"/>
      <c r="N391" s="341"/>
      <c r="O391" s="338">
        <f t="shared" si="169"/>
        <v>0</v>
      </c>
      <c r="P391" s="341"/>
      <c r="Q391" s="431"/>
      <c r="R391" s="28">
        <f t="shared" si="176"/>
        <v>0.05</v>
      </c>
      <c r="S391" s="17">
        <f t="shared" si="177"/>
        <v>0</v>
      </c>
      <c r="T391" s="419">
        <f t="shared" si="178"/>
        <v>0</v>
      </c>
      <c r="U391" s="43"/>
      <c r="V391" s="44">
        <f t="shared" si="179"/>
        <v>0</v>
      </c>
      <c r="W391" s="35">
        <f t="shared" si="183"/>
        <v>0</v>
      </c>
      <c r="X391" s="35"/>
      <c r="Y391" s="45">
        <f t="shared" si="181"/>
        <v>0</v>
      </c>
      <c r="Z391" s="45" t="e">
        <f t="shared" si="184"/>
        <v>#DIV/0!</v>
      </c>
    </row>
    <row r="392" spans="3:26" ht="15" hidden="1" outlineLevel="2">
      <c r="C392" s="1486"/>
      <c r="D392" s="1464"/>
      <c r="E392" s="1466"/>
      <c r="F392" s="1468"/>
      <c r="G392" s="343"/>
      <c r="H392" s="335" t="s">
        <v>4</v>
      </c>
      <c r="I392" s="341"/>
      <c r="J392" s="341"/>
      <c r="K392" s="341" t="e">
        <f t="shared" si="185"/>
        <v>#DIV/0!</v>
      </c>
      <c r="L392" s="341">
        <f t="shared" si="185"/>
        <v>0</v>
      </c>
      <c r="M392" s="342"/>
      <c r="N392" s="341"/>
      <c r="O392" s="338">
        <f t="shared" si="169"/>
        <v>0</v>
      </c>
      <c r="P392" s="341"/>
      <c r="Q392" s="431"/>
      <c r="R392" s="28">
        <f t="shared" si="176"/>
        <v>0.05</v>
      </c>
      <c r="S392" s="17">
        <f t="shared" si="177"/>
        <v>0</v>
      </c>
      <c r="T392" s="419">
        <f t="shared" si="178"/>
        <v>0</v>
      </c>
      <c r="U392" s="43"/>
      <c r="V392" s="44">
        <f t="shared" si="179"/>
        <v>0</v>
      </c>
      <c r="W392" s="35">
        <f t="shared" si="183"/>
        <v>0</v>
      </c>
      <c r="X392" s="35"/>
      <c r="Y392" s="45">
        <f t="shared" si="181"/>
        <v>0</v>
      </c>
      <c r="Z392" s="45" t="e">
        <f t="shared" si="184"/>
        <v>#DIV/0!</v>
      </c>
    </row>
    <row r="393" spans="3:26" ht="15" hidden="1" outlineLevel="2">
      <c r="C393" s="1486"/>
      <c r="D393" s="1464"/>
      <c r="E393" s="1466"/>
      <c r="F393" s="1468"/>
      <c r="G393" s="343"/>
      <c r="H393" s="335" t="s">
        <v>4</v>
      </c>
      <c r="I393" s="341"/>
      <c r="J393" s="341"/>
      <c r="K393" s="341" t="e">
        <f t="shared" si="185"/>
        <v>#DIV/0!</v>
      </c>
      <c r="L393" s="341">
        <f t="shared" si="185"/>
        <v>0</v>
      </c>
      <c r="M393" s="342"/>
      <c r="N393" s="341"/>
      <c r="O393" s="338">
        <f t="shared" si="169"/>
        <v>0</v>
      </c>
      <c r="P393" s="341"/>
      <c r="Q393" s="431"/>
      <c r="R393" s="28">
        <f t="shared" si="176"/>
        <v>0.05</v>
      </c>
      <c r="S393" s="17">
        <f t="shared" si="177"/>
        <v>0</v>
      </c>
      <c r="T393" s="419">
        <f t="shared" si="178"/>
        <v>0</v>
      </c>
      <c r="U393" s="43"/>
      <c r="V393" s="44">
        <f t="shared" si="179"/>
        <v>0</v>
      </c>
      <c r="W393" s="35">
        <f t="shared" si="183"/>
        <v>0</v>
      </c>
      <c r="X393" s="35"/>
      <c r="Y393" s="45">
        <f t="shared" si="181"/>
        <v>0</v>
      </c>
      <c r="Z393" s="45" t="e">
        <f t="shared" si="184"/>
        <v>#DIV/0!</v>
      </c>
    </row>
    <row r="394" spans="3:26" ht="15" hidden="1" outlineLevel="2">
      <c r="C394" s="1486"/>
      <c r="D394" s="1464"/>
      <c r="E394" s="1466"/>
      <c r="F394" s="1468"/>
      <c r="G394" s="343"/>
      <c r="H394" s="335" t="s">
        <v>4</v>
      </c>
      <c r="I394" s="341"/>
      <c r="J394" s="341"/>
      <c r="K394" s="341" t="e">
        <f t="shared" si="185"/>
        <v>#DIV/0!</v>
      </c>
      <c r="L394" s="341">
        <f t="shared" si="185"/>
        <v>0</v>
      </c>
      <c r="M394" s="342"/>
      <c r="N394" s="341"/>
      <c r="O394" s="338">
        <f t="shared" si="169"/>
        <v>0</v>
      </c>
      <c r="P394" s="341"/>
      <c r="Q394" s="431"/>
      <c r="R394" s="28">
        <f t="shared" si="176"/>
        <v>0.05</v>
      </c>
      <c r="S394" s="17">
        <f t="shared" si="177"/>
        <v>0</v>
      </c>
      <c r="T394" s="419">
        <f t="shared" si="178"/>
        <v>0</v>
      </c>
      <c r="U394" s="43"/>
      <c r="V394" s="44">
        <f t="shared" si="179"/>
        <v>0</v>
      </c>
      <c r="W394" s="35">
        <f t="shared" si="183"/>
        <v>0</v>
      </c>
      <c r="X394" s="35"/>
      <c r="Y394" s="45">
        <f t="shared" si="181"/>
        <v>0</v>
      </c>
      <c r="Z394" s="45" t="e">
        <f t="shared" si="184"/>
        <v>#DIV/0!</v>
      </c>
    </row>
    <row r="395" spans="3:26" ht="15" hidden="1" outlineLevel="2">
      <c r="C395" s="1486"/>
      <c r="D395" s="1464"/>
      <c r="E395" s="1466"/>
      <c r="F395" s="1468"/>
      <c r="G395" s="344"/>
      <c r="H395" s="335" t="s">
        <v>4</v>
      </c>
      <c r="I395" s="345"/>
      <c r="J395" s="345"/>
      <c r="K395" s="341" t="e">
        <f t="shared" si="185"/>
        <v>#DIV/0!</v>
      </c>
      <c r="L395" s="341">
        <f t="shared" si="185"/>
        <v>0</v>
      </c>
      <c r="M395" s="346"/>
      <c r="N395" s="345"/>
      <c r="O395" s="338">
        <f t="shared" si="169"/>
        <v>0</v>
      </c>
      <c r="P395" s="345"/>
      <c r="Q395" s="432"/>
      <c r="R395" s="28">
        <f t="shared" si="176"/>
        <v>0.05</v>
      </c>
      <c r="S395" s="17">
        <f t="shared" si="177"/>
        <v>0</v>
      </c>
      <c r="T395" s="419">
        <f t="shared" si="178"/>
        <v>0</v>
      </c>
      <c r="U395" s="43"/>
      <c r="V395" s="44">
        <f t="shared" si="179"/>
        <v>0</v>
      </c>
      <c r="W395" s="35">
        <f t="shared" si="183"/>
        <v>0</v>
      </c>
      <c r="X395" s="35"/>
      <c r="Y395" s="45">
        <f t="shared" si="181"/>
        <v>0</v>
      </c>
      <c r="Z395" s="45" t="e">
        <f t="shared" si="184"/>
        <v>#DIV/0!</v>
      </c>
    </row>
    <row r="396" spans="3:26" ht="15" hidden="1" outlineLevel="2">
      <c r="C396" s="1486"/>
      <c r="D396" s="1464"/>
      <c r="E396" s="1466"/>
      <c r="F396" s="1468"/>
      <c r="G396" s="343"/>
      <c r="H396" s="335" t="s">
        <v>4</v>
      </c>
      <c r="I396" s="341"/>
      <c r="J396" s="341"/>
      <c r="K396" s="341" t="e">
        <f t="shared" si="185"/>
        <v>#DIV/0!</v>
      </c>
      <c r="L396" s="341">
        <f t="shared" si="185"/>
        <v>0</v>
      </c>
      <c r="M396" s="342"/>
      <c r="N396" s="341"/>
      <c r="O396" s="338">
        <f t="shared" si="169"/>
        <v>0</v>
      </c>
      <c r="P396" s="341"/>
      <c r="Q396" s="431"/>
      <c r="R396" s="28">
        <f t="shared" si="176"/>
        <v>0.05</v>
      </c>
      <c r="S396" s="15">
        <f t="shared" si="177"/>
        <v>0</v>
      </c>
      <c r="T396" s="421">
        <f t="shared" si="178"/>
        <v>0</v>
      </c>
      <c r="U396" s="49"/>
      <c r="V396" s="50">
        <f t="shared" si="179"/>
        <v>0</v>
      </c>
      <c r="W396" s="38">
        <f t="shared" si="183"/>
        <v>0</v>
      </c>
      <c r="X396" s="38"/>
      <c r="Y396" s="51">
        <f t="shared" si="181"/>
        <v>0</v>
      </c>
      <c r="Z396" s="51" t="e">
        <f t="shared" si="184"/>
        <v>#DIV/0!</v>
      </c>
    </row>
    <row r="397" spans="3:26" ht="15" hidden="1" outlineLevel="2">
      <c r="C397" s="1486"/>
      <c r="D397" s="1464"/>
      <c r="E397" s="1466"/>
      <c r="F397" s="1468"/>
      <c r="G397" s="1470" t="s">
        <v>45</v>
      </c>
      <c r="H397" s="1471"/>
      <c r="I397" s="347">
        <f>SUM(I387:I396)</f>
        <v>0</v>
      </c>
      <c r="J397" s="347">
        <f t="shared" ref="J397" si="186">SUM(J387:J396)</f>
        <v>0</v>
      </c>
      <c r="K397" s="347">
        <f>SUMIFS(K387:K396,K387:K396,"&lt;&gt;",K387:K396,"&lt;"&amp;99^99)</f>
        <v>0</v>
      </c>
      <c r="L397" s="347">
        <f>SUMIFS(L387:L396,L387:L396,"&lt;&gt;",L387:L396,"&lt;"&amp;99^99)</f>
        <v>0</v>
      </c>
      <c r="M397" s="348"/>
      <c r="N397" s="347">
        <f>N387</f>
        <v>0</v>
      </c>
      <c r="O397" s="380">
        <f t="shared" si="169"/>
        <v>0</v>
      </c>
      <c r="P397" s="347">
        <f t="shared" ref="P397:Q397" si="187">SUM(P387:P396)</f>
        <v>0</v>
      </c>
      <c r="Q397" s="433">
        <f t="shared" si="187"/>
        <v>0</v>
      </c>
      <c r="R397" s="36" t="str">
        <f t="shared" si="176"/>
        <v/>
      </c>
      <c r="S397" s="36">
        <f>SUM(S387:S396)</f>
        <v>0</v>
      </c>
      <c r="T397" s="420">
        <f t="shared" ref="T397" si="188">SUM(T387:T396)</f>
        <v>0</v>
      </c>
      <c r="U397" s="36"/>
      <c r="V397" s="36"/>
      <c r="W397" s="36">
        <f t="shared" ref="W397" si="189">SUM(W387:W396)</f>
        <v>0</v>
      </c>
      <c r="X397" s="36"/>
      <c r="Y397" s="36">
        <f t="shared" ref="Y397" si="190">SUM(Y387:Y396)</f>
        <v>0</v>
      </c>
      <c r="Z397" s="36">
        <f>SUMIFS(Z387:Z396,Y387:Y396,"&lt;&gt;",Z387:Z396,"&lt;"&amp;99^99)</f>
        <v>0</v>
      </c>
    </row>
    <row r="398" spans="3:26" ht="15" hidden="1" outlineLevel="2">
      <c r="C398" s="1486"/>
      <c r="D398" s="1464"/>
      <c r="E398" s="1466"/>
      <c r="F398" s="1468"/>
      <c r="G398" s="381"/>
      <c r="H398" s="335" t="s">
        <v>28</v>
      </c>
      <c r="I398" s="336"/>
      <c r="J398"/>
      <c r="K398" s="341"/>
      <c r="L398" s="341">
        <f t="shared" ref="K398:L402" si="191">AA398</f>
        <v>0</v>
      </c>
      <c r="M398" s="337"/>
      <c r="N398" s="336"/>
      <c r="O398" s="338">
        <f>IF(N398=0,0,N398/J399)</f>
        <v>0</v>
      </c>
      <c r="P398"/>
      <c r="Q398" s="225"/>
      <c r="R398" s="28">
        <f t="shared" si="176"/>
        <v>3.5000000000000003E-2</v>
      </c>
      <c r="S398" s="16">
        <f>R398*J399</f>
        <v>0</v>
      </c>
      <c r="T398" s="422">
        <f t="shared" ref="T398:T407" si="192">R398*I398</f>
        <v>0</v>
      </c>
      <c r="U398" s="33"/>
      <c r="V398" s="34">
        <f t="shared" si="179"/>
        <v>0</v>
      </c>
      <c r="W398" s="31">
        <f t="shared" si="183"/>
        <v>0</v>
      </c>
      <c r="X398" s="31"/>
      <c r="Y398" s="32">
        <f t="shared" ref="Y398:Y407" si="193">I398+W398</f>
        <v>0</v>
      </c>
      <c r="Z398" s="32" t="e">
        <f t="shared" si="184"/>
        <v>#DIV/0!</v>
      </c>
    </row>
    <row r="399" spans="3:26" ht="15" hidden="1" outlineLevel="2">
      <c r="C399" s="1486"/>
      <c r="D399" s="1464"/>
      <c r="E399" s="1466"/>
      <c r="F399" s="1468"/>
      <c r="G399" s="339"/>
      <c r="H399" s="335" t="s">
        <v>28</v>
      </c>
      <c r="I399" s="336"/>
      <c r="J399" s="336"/>
      <c r="K399" s="341" t="e">
        <f t="shared" si="191"/>
        <v>#DIV/0!</v>
      </c>
      <c r="L399" s="341">
        <f t="shared" si="191"/>
        <v>0</v>
      </c>
      <c r="M399" s="382"/>
      <c r="N399" s="341"/>
      <c r="O399" s="338">
        <f t="shared" ref="O399:O430" si="194">IF(N399=0,0,N399/J399)</f>
        <v>0</v>
      </c>
      <c r="P399" s="336"/>
      <c r="Q399" s="430"/>
      <c r="R399" s="28">
        <f t="shared" si="176"/>
        <v>3.5000000000000003E-2</v>
      </c>
      <c r="S399" s="16">
        <f>R399*J400</f>
        <v>0</v>
      </c>
      <c r="T399" s="419">
        <f t="shared" si="192"/>
        <v>0</v>
      </c>
      <c r="U399" s="43"/>
      <c r="V399" s="44">
        <f t="shared" si="179"/>
        <v>0</v>
      </c>
      <c r="W399" s="35">
        <f t="shared" si="183"/>
        <v>0</v>
      </c>
      <c r="X399" s="35"/>
      <c r="Y399" s="45">
        <f t="shared" si="193"/>
        <v>0</v>
      </c>
      <c r="Z399" s="45" t="e">
        <f t="shared" si="184"/>
        <v>#DIV/0!</v>
      </c>
    </row>
    <row r="400" spans="3:26" ht="15" hidden="1" outlineLevel="2">
      <c r="C400" s="1486"/>
      <c r="D400" s="1464"/>
      <c r="E400" s="1466"/>
      <c r="F400" s="1468"/>
      <c r="G400" s="383"/>
      <c r="H400" s="335" t="s">
        <v>28</v>
      </c>
      <c r="I400" s="341"/>
      <c r="J400" s="341"/>
      <c r="K400" s="341" t="e">
        <f t="shared" si="191"/>
        <v>#DIV/0!</v>
      </c>
      <c r="L400" s="341">
        <f t="shared" si="191"/>
        <v>0</v>
      </c>
      <c r="M400" s="382"/>
      <c r="N400" s="341"/>
      <c r="O400" s="338">
        <f t="shared" si="194"/>
        <v>0</v>
      </c>
      <c r="P400" s="341"/>
      <c r="Q400" s="431"/>
      <c r="R400" s="28">
        <f t="shared" si="176"/>
        <v>3.5000000000000003E-2</v>
      </c>
      <c r="S400" s="17">
        <f t="shared" ref="S400:S407" si="195">R400*J400</f>
        <v>0</v>
      </c>
      <c r="T400" s="419">
        <f t="shared" si="192"/>
        <v>0</v>
      </c>
      <c r="U400" s="43"/>
      <c r="V400" s="44">
        <f t="shared" si="179"/>
        <v>0</v>
      </c>
      <c r="W400" s="35">
        <f t="shared" si="183"/>
        <v>0</v>
      </c>
      <c r="X400" s="35"/>
      <c r="Y400" s="45">
        <f t="shared" si="193"/>
        <v>0</v>
      </c>
      <c r="Z400" s="45" t="e">
        <f t="shared" si="184"/>
        <v>#DIV/0!</v>
      </c>
    </row>
    <row r="401" spans="3:26" ht="15" hidden="1" outlineLevel="2">
      <c r="C401" s="1486"/>
      <c r="D401" s="1464"/>
      <c r="E401" s="1466"/>
      <c r="F401" s="1468"/>
      <c r="G401" s="339"/>
      <c r="H401" s="335" t="s">
        <v>28</v>
      </c>
      <c r="I401" s="341"/>
      <c r="J401" s="341"/>
      <c r="K401" s="341" t="e">
        <f t="shared" si="191"/>
        <v>#DIV/0!</v>
      </c>
      <c r="L401" s="341">
        <f t="shared" si="191"/>
        <v>0</v>
      </c>
      <c r="M401" s="342"/>
      <c r="N401" s="341"/>
      <c r="O401" s="338">
        <f t="shared" si="194"/>
        <v>0</v>
      </c>
      <c r="P401" s="341"/>
      <c r="Q401" s="431"/>
      <c r="R401" s="28">
        <f t="shared" si="176"/>
        <v>3.5000000000000003E-2</v>
      </c>
      <c r="S401" s="17">
        <f t="shared" si="195"/>
        <v>0</v>
      </c>
      <c r="T401" s="419">
        <f t="shared" si="192"/>
        <v>0</v>
      </c>
      <c r="U401" s="43"/>
      <c r="V401" s="44">
        <f t="shared" si="179"/>
        <v>0</v>
      </c>
      <c r="W401" s="35">
        <f t="shared" si="183"/>
        <v>0</v>
      </c>
      <c r="X401" s="35"/>
      <c r="Y401" s="45">
        <f t="shared" si="193"/>
        <v>0</v>
      </c>
      <c r="Z401" s="45" t="e">
        <f t="shared" si="184"/>
        <v>#DIV/0!</v>
      </c>
    </row>
    <row r="402" spans="3:26" ht="15" hidden="1" outlineLevel="2">
      <c r="C402" s="1486"/>
      <c r="D402" s="1464"/>
      <c r="E402" s="1466"/>
      <c r="F402" s="1468"/>
      <c r="G402" s="339"/>
      <c r="H402" s="335" t="s">
        <v>28</v>
      </c>
      <c r="I402" s="341"/>
      <c r="J402" s="341"/>
      <c r="K402" s="341" t="e">
        <f t="shared" si="191"/>
        <v>#DIV/0!</v>
      </c>
      <c r="L402" s="341">
        <f t="shared" si="191"/>
        <v>0</v>
      </c>
      <c r="M402" s="342"/>
      <c r="N402" s="341"/>
      <c r="O402" s="338">
        <f t="shared" si="194"/>
        <v>0</v>
      </c>
      <c r="P402" s="341"/>
      <c r="Q402" s="431"/>
      <c r="R402" s="28">
        <f t="shared" si="176"/>
        <v>3.5000000000000003E-2</v>
      </c>
      <c r="S402" s="17">
        <f t="shared" si="195"/>
        <v>0</v>
      </c>
      <c r="T402" s="419">
        <f t="shared" si="192"/>
        <v>0</v>
      </c>
      <c r="U402" s="43"/>
      <c r="V402" s="44">
        <f t="shared" si="179"/>
        <v>0</v>
      </c>
      <c r="W402" s="35">
        <f t="shared" si="183"/>
        <v>0</v>
      </c>
      <c r="X402" s="35"/>
      <c r="Y402" s="45">
        <f t="shared" si="193"/>
        <v>0</v>
      </c>
      <c r="Z402" s="45" t="e">
        <f t="shared" si="184"/>
        <v>#DIV/0!</v>
      </c>
    </row>
    <row r="403" spans="3:26" ht="15" hidden="1" outlineLevel="2">
      <c r="C403" s="1486"/>
      <c r="D403" s="1464"/>
      <c r="E403" s="1466"/>
      <c r="F403" s="1468"/>
      <c r="G403" s="339"/>
      <c r="H403" s="335" t="s">
        <v>28</v>
      </c>
      <c r="I403" s="341"/>
      <c r="J403" s="341"/>
      <c r="K403" s="341" t="e">
        <f t="shared" ref="K403:L407" si="196">Z403</f>
        <v>#DIV/0!</v>
      </c>
      <c r="L403" s="341">
        <f t="shared" si="196"/>
        <v>0</v>
      </c>
      <c r="M403" s="342"/>
      <c r="N403" s="341"/>
      <c r="O403" s="338">
        <f t="shared" si="194"/>
        <v>0</v>
      </c>
      <c r="P403" s="341"/>
      <c r="Q403" s="431"/>
      <c r="R403" s="28">
        <f t="shared" si="176"/>
        <v>3.5000000000000003E-2</v>
      </c>
      <c r="S403" s="17">
        <f t="shared" si="195"/>
        <v>0</v>
      </c>
      <c r="T403" s="419">
        <f t="shared" si="192"/>
        <v>0</v>
      </c>
      <c r="U403" s="43"/>
      <c r="V403" s="44">
        <f t="shared" si="179"/>
        <v>0</v>
      </c>
      <c r="W403" s="35">
        <f t="shared" si="183"/>
        <v>0</v>
      </c>
      <c r="X403" s="35"/>
      <c r="Y403" s="45">
        <f t="shared" si="193"/>
        <v>0</v>
      </c>
      <c r="Z403" s="45" t="e">
        <f t="shared" si="184"/>
        <v>#DIV/0!</v>
      </c>
    </row>
    <row r="404" spans="3:26" ht="15" hidden="1" outlineLevel="2">
      <c r="C404" s="1486"/>
      <c r="D404" s="1464"/>
      <c r="E404" s="1466"/>
      <c r="F404" s="1468"/>
      <c r="G404" s="339"/>
      <c r="H404" s="335" t="s">
        <v>28</v>
      </c>
      <c r="I404" s="341"/>
      <c r="J404" s="341"/>
      <c r="K404" s="341" t="e">
        <f t="shared" si="196"/>
        <v>#DIV/0!</v>
      </c>
      <c r="L404" s="341">
        <f t="shared" si="196"/>
        <v>0</v>
      </c>
      <c r="M404" s="342"/>
      <c r="N404" s="341"/>
      <c r="O404" s="338">
        <f t="shared" si="194"/>
        <v>0</v>
      </c>
      <c r="P404" s="341"/>
      <c r="Q404" s="431"/>
      <c r="R404" s="28">
        <f t="shared" si="176"/>
        <v>3.5000000000000003E-2</v>
      </c>
      <c r="S404" s="17">
        <f t="shared" si="195"/>
        <v>0</v>
      </c>
      <c r="T404" s="419">
        <f t="shared" si="192"/>
        <v>0</v>
      </c>
      <c r="U404" s="43"/>
      <c r="V404" s="44">
        <f t="shared" si="179"/>
        <v>0</v>
      </c>
      <c r="W404" s="35">
        <f t="shared" si="183"/>
        <v>0</v>
      </c>
      <c r="X404" s="35"/>
      <c r="Y404" s="45">
        <f t="shared" si="193"/>
        <v>0</v>
      </c>
      <c r="Z404" s="45" t="e">
        <f t="shared" si="184"/>
        <v>#DIV/0!</v>
      </c>
    </row>
    <row r="405" spans="3:26" ht="15" hidden="1" outlineLevel="2">
      <c r="C405" s="1486"/>
      <c r="D405" s="1464"/>
      <c r="E405" s="1466"/>
      <c r="F405" s="1468"/>
      <c r="G405" s="339"/>
      <c r="H405" s="335" t="s">
        <v>28</v>
      </c>
      <c r="I405" s="341"/>
      <c r="J405" s="341"/>
      <c r="K405" s="341" t="e">
        <f t="shared" si="196"/>
        <v>#DIV/0!</v>
      </c>
      <c r="L405" s="341">
        <f t="shared" si="196"/>
        <v>0</v>
      </c>
      <c r="M405" s="342"/>
      <c r="N405" s="341"/>
      <c r="O405" s="338">
        <f t="shared" si="194"/>
        <v>0</v>
      </c>
      <c r="P405" s="341"/>
      <c r="Q405" s="431"/>
      <c r="R405" s="28">
        <f t="shared" si="176"/>
        <v>3.5000000000000003E-2</v>
      </c>
      <c r="S405" s="17">
        <f t="shared" si="195"/>
        <v>0</v>
      </c>
      <c r="T405" s="419">
        <f t="shared" si="192"/>
        <v>0</v>
      </c>
      <c r="U405" s="43"/>
      <c r="V405" s="44">
        <f t="shared" si="179"/>
        <v>0</v>
      </c>
      <c r="W405" s="35">
        <f t="shared" si="183"/>
        <v>0</v>
      </c>
      <c r="X405" s="35"/>
      <c r="Y405" s="45">
        <f t="shared" si="193"/>
        <v>0</v>
      </c>
      <c r="Z405" s="45" t="e">
        <f t="shared" si="184"/>
        <v>#DIV/0!</v>
      </c>
    </row>
    <row r="406" spans="3:26" ht="15" hidden="1" outlineLevel="2">
      <c r="C406" s="1486"/>
      <c r="D406" s="1464"/>
      <c r="E406" s="1466"/>
      <c r="F406" s="1468"/>
      <c r="G406" s="384"/>
      <c r="H406" s="335" t="s">
        <v>28</v>
      </c>
      <c r="I406" s="345"/>
      <c r="J406" s="345"/>
      <c r="K406" s="341" t="e">
        <f t="shared" si="196"/>
        <v>#DIV/0!</v>
      </c>
      <c r="L406" s="341">
        <f t="shared" si="196"/>
        <v>0</v>
      </c>
      <c r="M406" s="346"/>
      <c r="N406" s="345"/>
      <c r="O406" s="338">
        <f t="shared" si="194"/>
        <v>0</v>
      </c>
      <c r="P406" s="345"/>
      <c r="Q406" s="432"/>
      <c r="R406" s="28">
        <f t="shared" si="176"/>
        <v>3.5000000000000003E-2</v>
      </c>
      <c r="S406" s="17">
        <f t="shared" si="195"/>
        <v>0</v>
      </c>
      <c r="T406" s="419">
        <f t="shared" si="192"/>
        <v>0</v>
      </c>
      <c r="U406" s="43"/>
      <c r="V406" s="44">
        <f t="shared" si="179"/>
        <v>0</v>
      </c>
      <c r="W406" s="35">
        <f t="shared" si="183"/>
        <v>0</v>
      </c>
      <c r="X406" s="35"/>
      <c r="Y406" s="45">
        <f t="shared" si="193"/>
        <v>0</v>
      </c>
      <c r="Z406" s="45" t="e">
        <f t="shared" si="184"/>
        <v>#DIV/0!</v>
      </c>
    </row>
    <row r="407" spans="3:26" ht="15" hidden="1" outlineLevel="2">
      <c r="C407" s="1486"/>
      <c r="D407" s="1464"/>
      <c r="E407" s="1466"/>
      <c r="F407" s="1468"/>
      <c r="G407" s="339"/>
      <c r="H407" s="335" t="s">
        <v>28</v>
      </c>
      <c r="I407" s="341"/>
      <c r="J407" s="341"/>
      <c r="K407" s="341" t="e">
        <f t="shared" si="196"/>
        <v>#DIV/0!</v>
      </c>
      <c r="L407" s="341">
        <f t="shared" si="196"/>
        <v>0</v>
      </c>
      <c r="M407" s="342"/>
      <c r="N407" s="341"/>
      <c r="O407" s="338">
        <f t="shared" si="194"/>
        <v>0</v>
      </c>
      <c r="P407" s="341"/>
      <c r="Q407" s="431"/>
      <c r="R407" s="28">
        <f t="shared" si="176"/>
        <v>3.5000000000000003E-2</v>
      </c>
      <c r="S407" s="15">
        <f t="shared" si="195"/>
        <v>0</v>
      </c>
      <c r="T407" s="421">
        <f t="shared" si="192"/>
        <v>0</v>
      </c>
      <c r="U407" s="49"/>
      <c r="V407" s="50">
        <f t="shared" si="179"/>
        <v>0</v>
      </c>
      <c r="W407" s="38">
        <f t="shared" si="183"/>
        <v>0</v>
      </c>
      <c r="X407" s="38"/>
      <c r="Y407" s="51">
        <f t="shared" si="193"/>
        <v>0</v>
      </c>
      <c r="Z407" s="51" t="e">
        <f t="shared" si="184"/>
        <v>#DIV/0!</v>
      </c>
    </row>
    <row r="408" spans="3:26" ht="15" hidden="1" outlineLevel="2">
      <c r="C408" s="1486"/>
      <c r="D408" s="1464"/>
      <c r="E408" s="1466"/>
      <c r="F408" s="1468"/>
      <c r="G408" s="1470" t="s">
        <v>51</v>
      </c>
      <c r="H408" s="1471"/>
      <c r="I408" s="347">
        <f>SUM(I398:I407)</f>
        <v>0</v>
      </c>
      <c r="J408" s="347">
        <f>SUM(J399:J407)</f>
        <v>0</v>
      </c>
      <c r="K408" s="347">
        <f>SUMIFS(K398:K407,K398:K407,"&lt;&gt;",K398:K407,"&lt;"&amp;99^99)</f>
        <v>0</v>
      </c>
      <c r="L408" s="347">
        <f>SUMIFS(L398:L407,L398:L407,"&lt;&gt;",L398:L407,"&lt;"&amp;99^99)</f>
        <v>0</v>
      </c>
      <c r="M408" s="348"/>
      <c r="N408" s="347">
        <f>N398</f>
        <v>0</v>
      </c>
      <c r="O408" s="380">
        <f t="shared" si="194"/>
        <v>0</v>
      </c>
      <c r="P408" s="347">
        <f>SUM(P399:P407)</f>
        <v>0</v>
      </c>
      <c r="Q408" s="433">
        <f>SUM(Q399:Q407)</f>
        <v>0</v>
      </c>
      <c r="R408" s="36" t="str">
        <f t="shared" si="176"/>
        <v/>
      </c>
      <c r="S408" s="36">
        <f>SUM(S398:S407)</f>
        <v>0</v>
      </c>
      <c r="T408" s="420">
        <f t="shared" ref="T408" si="197">SUM(T398:T407)</f>
        <v>0</v>
      </c>
      <c r="U408" s="36"/>
      <c r="V408" s="36"/>
      <c r="W408" s="36">
        <f t="shared" ref="W408" si="198">SUM(W398:W407)</f>
        <v>0</v>
      </c>
      <c r="X408" s="36"/>
      <c r="Y408" s="36">
        <f t="shared" ref="Y408" si="199">SUM(Y398:Y407)</f>
        <v>0</v>
      </c>
      <c r="Z408" s="36">
        <f>SUMIFS(Z398:Z407,Y398:Y407,"&lt;&gt;",Z398:Z407,"&lt;"&amp;99^99)</f>
        <v>0</v>
      </c>
    </row>
    <row r="409" spans="3:26" ht="15" hidden="1" outlineLevel="2">
      <c r="C409" s="1486"/>
      <c r="D409" s="1464"/>
      <c r="E409" s="1466"/>
      <c r="F409" s="1468"/>
      <c r="G409" s="351"/>
      <c r="H409" s="335" t="s">
        <v>22</v>
      </c>
      <c r="I409" s="336"/>
      <c r="J409" s="336"/>
      <c r="K409" s="341"/>
      <c r="L409" s="341">
        <f t="shared" ref="K409:L412" si="200">AA409</f>
        <v>0</v>
      </c>
      <c r="M409" s="337"/>
      <c r="N409" s="336"/>
      <c r="O409" s="338">
        <f t="shared" si="194"/>
        <v>0</v>
      </c>
      <c r="P409" s="336"/>
      <c r="Q409" s="430"/>
      <c r="R409" s="28">
        <f t="shared" si="176"/>
        <v>3.5000000000000003E-2</v>
      </c>
      <c r="S409" s="16">
        <f t="shared" ref="S409:S418" si="201">R409*J409</f>
        <v>0</v>
      </c>
      <c r="T409" s="422">
        <f t="shared" ref="T409:T418" si="202">R409*I409</f>
        <v>0</v>
      </c>
      <c r="U409" s="33"/>
      <c r="V409" s="34">
        <f t="shared" si="179"/>
        <v>0</v>
      </c>
      <c r="W409" s="31">
        <f t="shared" si="183"/>
        <v>0</v>
      </c>
      <c r="X409" s="31"/>
      <c r="Y409" s="32">
        <f t="shared" ref="Y409:Y418" si="203">I409+W409</f>
        <v>0</v>
      </c>
      <c r="Z409" s="32" t="e">
        <f t="shared" si="184"/>
        <v>#DIV/0!</v>
      </c>
    </row>
    <row r="410" spans="3:26" ht="15" hidden="1" outlineLevel="2">
      <c r="C410" s="1486"/>
      <c r="D410" s="1464"/>
      <c r="E410" s="1466"/>
      <c r="F410" s="1468"/>
      <c r="G410" s="351"/>
      <c r="H410" s="335" t="s">
        <v>22</v>
      </c>
      <c r="I410" s="341"/>
      <c r="J410" s="341"/>
      <c r="K410" s="341" t="e">
        <f t="shared" si="200"/>
        <v>#DIV/0!</v>
      </c>
      <c r="L410" s="341">
        <f t="shared" si="200"/>
        <v>0</v>
      </c>
      <c r="M410" s="342"/>
      <c r="N410" s="341"/>
      <c r="O410" s="338">
        <f t="shared" si="194"/>
        <v>0</v>
      </c>
      <c r="P410" s="341"/>
      <c r="Q410" s="431"/>
      <c r="R410" s="28">
        <f t="shared" si="176"/>
        <v>3.5000000000000003E-2</v>
      </c>
      <c r="S410" s="17">
        <f t="shared" si="201"/>
        <v>0</v>
      </c>
      <c r="T410" s="419">
        <f t="shared" si="202"/>
        <v>0</v>
      </c>
      <c r="U410" s="43"/>
      <c r="V410" s="44">
        <f t="shared" si="179"/>
        <v>0</v>
      </c>
      <c r="W410" s="35">
        <f t="shared" si="183"/>
        <v>0</v>
      </c>
      <c r="X410" s="35"/>
      <c r="Y410" s="45">
        <f t="shared" si="203"/>
        <v>0</v>
      </c>
      <c r="Z410" s="45" t="e">
        <f t="shared" si="184"/>
        <v>#DIV/0!</v>
      </c>
    </row>
    <row r="411" spans="3:26" ht="15" hidden="1" outlineLevel="2">
      <c r="C411" s="1486"/>
      <c r="D411" s="1464"/>
      <c r="E411" s="1466"/>
      <c r="F411" s="1468"/>
      <c r="G411" s="339"/>
      <c r="H411" s="335" t="s">
        <v>22</v>
      </c>
      <c r="I411" s="341"/>
      <c r="J411" s="341">
        <f>I411</f>
        <v>0</v>
      </c>
      <c r="K411" s="341" t="e">
        <f t="shared" si="200"/>
        <v>#DIV/0!</v>
      </c>
      <c r="L411" s="341">
        <f t="shared" si="200"/>
        <v>0</v>
      </c>
      <c r="M411" s="342"/>
      <c r="N411" s="341"/>
      <c r="O411" s="338">
        <f t="shared" si="194"/>
        <v>0</v>
      </c>
      <c r="P411" s="341">
        <f>O411</f>
        <v>0</v>
      </c>
      <c r="Q411" s="431">
        <f>P411</f>
        <v>0</v>
      </c>
      <c r="R411" s="28">
        <f t="shared" si="176"/>
        <v>3.5000000000000003E-2</v>
      </c>
      <c r="S411" s="17">
        <f t="shared" si="201"/>
        <v>0</v>
      </c>
      <c r="T411" s="419">
        <f t="shared" si="202"/>
        <v>0</v>
      </c>
      <c r="U411" s="43"/>
      <c r="V411" s="44">
        <f t="shared" si="179"/>
        <v>0</v>
      </c>
      <c r="W411" s="35">
        <f t="shared" si="183"/>
        <v>0</v>
      </c>
      <c r="X411" s="35"/>
      <c r="Y411" s="45">
        <f t="shared" si="203"/>
        <v>0</v>
      </c>
      <c r="Z411" s="45" t="e">
        <f t="shared" si="184"/>
        <v>#DIV/0!</v>
      </c>
    </row>
    <row r="412" spans="3:26" ht="15" hidden="1" outlineLevel="2">
      <c r="C412" s="1486"/>
      <c r="D412" s="1464"/>
      <c r="E412" s="1466"/>
      <c r="F412" s="1468"/>
      <c r="G412" s="339"/>
      <c r="H412" s="335" t="s">
        <v>22</v>
      </c>
      <c r="I412" s="341"/>
      <c r="J412" s="341">
        <f>I412</f>
        <v>0</v>
      </c>
      <c r="K412" s="341" t="e">
        <f t="shared" si="200"/>
        <v>#DIV/0!</v>
      </c>
      <c r="L412" s="341">
        <f t="shared" si="200"/>
        <v>0</v>
      </c>
      <c r="M412" s="342"/>
      <c r="N412" s="341"/>
      <c r="O412" s="338">
        <f t="shared" si="194"/>
        <v>0</v>
      </c>
      <c r="P412" s="341">
        <f>O412</f>
        <v>0</v>
      </c>
      <c r="Q412" s="431">
        <f>P412</f>
        <v>0</v>
      </c>
      <c r="R412" s="28">
        <f t="shared" si="176"/>
        <v>3.5000000000000003E-2</v>
      </c>
      <c r="S412" s="17">
        <f t="shared" si="201"/>
        <v>0</v>
      </c>
      <c r="T412" s="419">
        <f t="shared" si="202"/>
        <v>0</v>
      </c>
      <c r="U412" s="43"/>
      <c r="V412" s="44">
        <f t="shared" si="179"/>
        <v>0</v>
      </c>
      <c r="W412" s="35">
        <f t="shared" si="183"/>
        <v>0</v>
      </c>
      <c r="X412" s="35"/>
      <c r="Y412" s="45">
        <f t="shared" si="203"/>
        <v>0</v>
      </c>
      <c r="Z412" s="45" t="e">
        <f t="shared" si="184"/>
        <v>#DIV/0!</v>
      </c>
    </row>
    <row r="413" spans="3:26" ht="15" hidden="1" outlineLevel="2">
      <c r="C413" s="1486"/>
      <c r="D413" s="1464"/>
      <c r="E413" s="1466"/>
      <c r="F413" s="1468"/>
      <c r="G413" s="339"/>
      <c r="H413" s="335" t="s">
        <v>22</v>
      </c>
      <c r="I413" s="341"/>
      <c r="J413" s="341"/>
      <c r="K413" s="341" t="e">
        <f t="shared" ref="K413:L418" si="204">Z413</f>
        <v>#DIV/0!</v>
      </c>
      <c r="L413" s="341">
        <f t="shared" si="204"/>
        <v>0</v>
      </c>
      <c r="M413" s="342"/>
      <c r="N413" s="341"/>
      <c r="O413" s="338">
        <f t="shared" si="194"/>
        <v>0</v>
      </c>
      <c r="P413" s="341"/>
      <c r="Q413" s="431"/>
      <c r="R413" s="28">
        <f t="shared" si="176"/>
        <v>3.5000000000000003E-2</v>
      </c>
      <c r="S413" s="17">
        <f t="shared" si="201"/>
        <v>0</v>
      </c>
      <c r="T413" s="419">
        <f t="shared" si="202"/>
        <v>0</v>
      </c>
      <c r="U413" s="43"/>
      <c r="V413" s="44">
        <f t="shared" si="179"/>
        <v>0</v>
      </c>
      <c r="W413" s="35">
        <f t="shared" si="183"/>
        <v>0</v>
      </c>
      <c r="X413" s="35"/>
      <c r="Y413" s="45">
        <f t="shared" si="203"/>
        <v>0</v>
      </c>
      <c r="Z413" s="45" t="e">
        <f t="shared" si="184"/>
        <v>#DIV/0!</v>
      </c>
    </row>
    <row r="414" spans="3:26" ht="15" hidden="1" outlineLevel="2">
      <c r="C414" s="1486"/>
      <c r="D414" s="1464"/>
      <c r="E414" s="1466"/>
      <c r="F414" s="1468"/>
      <c r="G414" s="339"/>
      <c r="H414" s="335" t="s">
        <v>22</v>
      </c>
      <c r="I414" s="341"/>
      <c r="J414" s="341"/>
      <c r="K414" s="341" t="e">
        <f t="shared" si="204"/>
        <v>#DIV/0!</v>
      </c>
      <c r="L414" s="341">
        <f t="shared" si="204"/>
        <v>0</v>
      </c>
      <c r="M414" s="342"/>
      <c r="N414" s="341"/>
      <c r="O414" s="338">
        <f t="shared" si="194"/>
        <v>0</v>
      </c>
      <c r="P414" s="341"/>
      <c r="Q414" s="431"/>
      <c r="R414" s="28">
        <f t="shared" si="176"/>
        <v>3.5000000000000003E-2</v>
      </c>
      <c r="S414" s="17">
        <f t="shared" si="201"/>
        <v>0</v>
      </c>
      <c r="T414" s="419">
        <f t="shared" si="202"/>
        <v>0</v>
      </c>
      <c r="U414" s="43"/>
      <c r="V414" s="44">
        <f t="shared" si="179"/>
        <v>0</v>
      </c>
      <c r="W414" s="35">
        <f t="shared" si="183"/>
        <v>0</v>
      </c>
      <c r="X414" s="35"/>
      <c r="Y414" s="45">
        <f t="shared" si="203"/>
        <v>0</v>
      </c>
      <c r="Z414" s="45" t="e">
        <f t="shared" si="184"/>
        <v>#DIV/0!</v>
      </c>
    </row>
    <row r="415" spans="3:26" ht="15" hidden="1" outlineLevel="2">
      <c r="C415" s="1486"/>
      <c r="D415" s="1464"/>
      <c r="E415" s="1466"/>
      <c r="F415" s="1468"/>
      <c r="G415" s="339"/>
      <c r="H415" s="335" t="s">
        <v>22</v>
      </c>
      <c r="I415" s="341"/>
      <c r="J415" s="341"/>
      <c r="K415" s="341" t="e">
        <f t="shared" si="204"/>
        <v>#DIV/0!</v>
      </c>
      <c r="L415" s="341">
        <f t="shared" si="204"/>
        <v>0</v>
      </c>
      <c r="M415" s="342"/>
      <c r="N415" s="341"/>
      <c r="O415" s="338">
        <f t="shared" si="194"/>
        <v>0</v>
      </c>
      <c r="P415" s="341"/>
      <c r="Q415" s="431"/>
      <c r="R415" s="28">
        <f t="shared" si="176"/>
        <v>3.5000000000000003E-2</v>
      </c>
      <c r="S415" s="17">
        <f t="shared" si="201"/>
        <v>0</v>
      </c>
      <c r="T415" s="419">
        <f t="shared" si="202"/>
        <v>0</v>
      </c>
      <c r="U415" s="43"/>
      <c r="V415" s="44">
        <f t="shared" si="179"/>
        <v>0</v>
      </c>
      <c r="W415" s="35">
        <f t="shared" si="183"/>
        <v>0</v>
      </c>
      <c r="X415" s="35"/>
      <c r="Y415" s="45">
        <f t="shared" si="203"/>
        <v>0</v>
      </c>
      <c r="Z415" s="45" t="e">
        <f t="shared" si="184"/>
        <v>#DIV/0!</v>
      </c>
    </row>
    <row r="416" spans="3:26" ht="15" hidden="1" outlineLevel="2">
      <c r="C416" s="1486"/>
      <c r="D416" s="1464"/>
      <c r="E416" s="1466"/>
      <c r="F416" s="1468"/>
      <c r="G416" s="339"/>
      <c r="H416" s="335" t="s">
        <v>22</v>
      </c>
      <c r="I416" s="341"/>
      <c r="J416" s="341"/>
      <c r="K416" s="341" t="e">
        <f t="shared" si="204"/>
        <v>#DIV/0!</v>
      </c>
      <c r="L416" s="341">
        <f t="shared" si="204"/>
        <v>0</v>
      </c>
      <c r="M416" s="342"/>
      <c r="N416" s="341"/>
      <c r="O416" s="338">
        <f t="shared" si="194"/>
        <v>0</v>
      </c>
      <c r="P416" s="341"/>
      <c r="Q416" s="431"/>
      <c r="R416" s="28">
        <f t="shared" si="176"/>
        <v>3.5000000000000003E-2</v>
      </c>
      <c r="S416" s="17">
        <f t="shared" si="201"/>
        <v>0</v>
      </c>
      <c r="T416" s="419">
        <f t="shared" si="202"/>
        <v>0</v>
      </c>
      <c r="U416" s="43"/>
      <c r="V416" s="44">
        <f t="shared" si="179"/>
        <v>0</v>
      </c>
      <c r="W416" s="35">
        <f t="shared" si="183"/>
        <v>0</v>
      </c>
      <c r="X416" s="35"/>
      <c r="Y416" s="45">
        <f t="shared" si="203"/>
        <v>0</v>
      </c>
      <c r="Z416" s="45" t="e">
        <f t="shared" si="184"/>
        <v>#DIV/0!</v>
      </c>
    </row>
    <row r="417" spans="3:26" ht="15" hidden="1" outlineLevel="2">
      <c r="C417" s="1486"/>
      <c r="D417" s="1464"/>
      <c r="E417" s="1466"/>
      <c r="F417" s="1468"/>
      <c r="G417" s="384"/>
      <c r="H417" s="335" t="s">
        <v>22</v>
      </c>
      <c r="I417" s="345"/>
      <c r="J417" s="345"/>
      <c r="K417" s="341" t="e">
        <f t="shared" si="204"/>
        <v>#DIV/0!</v>
      </c>
      <c r="L417" s="341">
        <f t="shared" si="204"/>
        <v>0</v>
      </c>
      <c r="M417" s="346"/>
      <c r="N417" s="345"/>
      <c r="O417" s="338">
        <f t="shared" si="194"/>
        <v>0</v>
      </c>
      <c r="P417" s="345"/>
      <c r="Q417" s="432"/>
      <c r="R417" s="28">
        <f t="shared" si="176"/>
        <v>3.5000000000000003E-2</v>
      </c>
      <c r="S417" s="17">
        <f t="shared" si="201"/>
        <v>0</v>
      </c>
      <c r="T417" s="419">
        <f t="shared" si="202"/>
        <v>0</v>
      </c>
      <c r="U417" s="43"/>
      <c r="V417" s="44">
        <f t="shared" si="179"/>
        <v>0</v>
      </c>
      <c r="W417" s="35">
        <f t="shared" si="183"/>
        <v>0</v>
      </c>
      <c r="X417" s="35"/>
      <c r="Y417" s="45">
        <f t="shared" si="203"/>
        <v>0</v>
      </c>
      <c r="Z417" s="45" t="e">
        <f t="shared" si="184"/>
        <v>#DIV/0!</v>
      </c>
    </row>
    <row r="418" spans="3:26" ht="15" hidden="1" outlineLevel="2">
      <c r="C418" s="1486"/>
      <c r="D418" s="1464"/>
      <c r="E418" s="1466"/>
      <c r="F418" s="1468"/>
      <c r="G418" s="339"/>
      <c r="H418" s="335" t="s">
        <v>22</v>
      </c>
      <c r="I418" s="341"/>
      <c r="J418" s="341"/>
      <c r="K418" s="341" t="e">
        <f t="shared" si="204"/>
        <v>#DIV/0!</v>
      </c>
      <c r="L418" s="341">
        <f t="shared" si="204"/>
        <v>0</v>
      </c>
      <c r="M418" s="342"/>
      <c r="N418" s="341"/>
      <c r="O418" s="338">
        <f t="shared" si="194"/>
        <v>0</v>
      </c>
      <c r="P418" s="341"/>
      <c r="Q418" s="431"/>
      <c r="R418" s="28">
        <f t="shared" si="176"/>
        <v>3.5000000000000003E-2</v>
      </c>
      <c r="S418" s="17">
        <f t="shared" si="201"/>
        <v>0</v>
      </c>
      <c r="T418" s="419">
        <f t="shared" si="202"/>
        <v>0</v>
      </c>
      <c r="U418" s="43"/>
      <c r="V418" s="44">
        <f t="shared" si="179"/>
        <v>0</v>
      </c>
      <c r="W418" s="35">
        <f t="shared" si="183"/>
        <v>0</v>
      </c>
      <c r="X418" s="35"/>
      <c r="Y418" s="45">
        <f t="shared" si="203"/>
        <v>0</v>
      </c>
      <c r="Z418" s="45" t="e">
        <f t="shared" si="184"/>
        <v>#DIV/0!</v>
      </c>
    </row>
    <row r="419" spans="3:26" ht="15" hidden="1" outlineLevel="2">
      <c r="C419" s="1486"/>
      <c r="D419" s="1464"/>
      <c r="E419" s="1466"/>
      <c r="F419" s="1468"/>
      <c r="G419" s="1470" t="s">
        <v>44</v>
      </c>
      <c r="H419" s="1471"/>
      <c r="I419" s="347">
        <f>SUM(I409:I418)</f>
        <v>0</v>
      </c>
      <c r="J419" s="347">
        <f t="shared" ref="J419" si="205">SUM(J409:J418)</f>
        <v>0</v>
      </c>
      <c r="K419" s="347">
        <f>SUMIFS(K409:K418,K409:K418,"&lt;&gt;",K409:K418,"&lt;"&amp;99^99)</f>
        <v>0</v>
      </c>
      <c r="L419" s="347">
        <f>SUMIFS(L409:L418,L409:L418,"&lt;&gt;",L409:L418,"&lt;"&amp;99^99)</f>
        <v>0</v>
      </c>
      <c r="M419" s="348"/>
      <c r="N419" s="347">
        <f>N409</f>
        <v>0</v>
      </c>
      <c r="O419" s="380">
        <f t="shared" si="194"/>
        <v>0</v>
      </c>
      <c r="P419" s="347">
        <f t="shared" ref="P419:Q419" si="206">SUM(P409:P418)</f>
        <v>0</v>
      </c>
      <c r="Q419" s="433">
        <f t="shared" si="206"/>
        <v>0</v>
      </c>
      <c r="R419" s="36" t="str">
        <f t="shared" si="176"/>
        <v/>
      </c>
      <c r="S419" s="36">
        <f>SUM(S409:S418)</f>
        <v>0</v>
      </c>
      <c r="T419" s="420">
        <f t="shared" ref="T419" si="207">SUM(T409:T418)</f>
        <v>0</v>
      </c>
      <c r="U419" s="36"/>
      <c r="V419" s="36"/>
      <c r="W419" s="36">
        <f t="shared" ref="W419" si="208">SUM(W409:W418)</f>
        <v>0</v>
      </c>
      <c r="X419" s="36"/>
      <c r="Y419" s="36">
        <f t="shared" ref="Y419" si="209">SUM(Y409:Y418)</f>
        <v>0</v>
      </c>
      <c r="Z419" s="36">
        <f>SUMIFS(Z409:Z418,Y409:Y418,"&lt;&gt;",Z409:Z418,"&lt;"&amp;99^99)</f>
        <v>0</v>
      </c>
    </row>
    <row r="420" spans="3:26" ht="15.75" outlineLevel="1" collapsed="1" thickTop="1">
      <c r="C420" s="1486"/>
      <c r="D420" s="1464"/>
      <c r="E420" s="1466"/>
      <c r="F420" s="1469"/>
      <c r="G420" s="1470" t="s">
        <v>177</v>
      </c>
      <c r="H420" s="1471"/>
      <c r="I420" s="347">
        <f>(I397/usdrate)+(I408*jodrate)+I419</f>
        <v>0</v>
      </c>
      <c r="J420" s="347">
        <f>(J397/usdrate)+(J408*jodrate)+J419</f>
        <v>0</v>
      </c>
      <c r="K420" s="347">
        <f>(K397/usdrate)+(K408*jodrate)+K419</f>
        <v>0</v>
      </c>
      <c r="L420" s="347">
        <f>(L397/usdrate)+(L408*jodrate)+L419</f>
        <v>0</v>
      </c>
      <c r="M420" s="348"/>
      <c r="N420" s="347">
        <f>(N397/usdrate)+(N408*jodrate)+N419</f>
        <v>0</v>
      </c>
      <c r="O420" s="380">
        <f t="shared" si="194"/>
        <v>0</v>
      </c>
      <c r="P420" s="347">
        <f>(P397/usdrate)+(P408*jodrate)+P419</f>
        <v>0</v>
      </c>
      <c r="Q420" s="433">
        <f>(Q397/usdrate)+(Q408*jodrate)+Q419</f>
        <v>0</v>
      </c>
      <c r="R420" s="58"/>
      <c r="S420" s="36">
        <f t="shared" ref="S420:Z420" si="210">(S397/usdrate)+(S408*jodrate)+S419</f>
        <v>0</v>
      </c>
      <c r="T420" s="420">
        <f t="shared" si="210"/>
        <v>0</v>
      </c>
      <c r="U420" s="36">
        <f t="shared" si="210"/>
        <v>0</v>
      </c>
      <c r="V420" s="36">
        <f t="shared" si="210"/>
        <v>0</v>
      </c>
      <c r="W420" s="36">
        <f t="shared" si="210"/>
        <v>0</v>
      </c>
      <c r="X420" s="36"/>
      <c r="Y420" s="36">
        <f t="shared" si="210"/>
        <v>0</v>
      </c>
      <c r="Z420" s="36">
        <f t="shared" si="210"/>
        <v>0</v>
      </c>
    </row>
    <row r="421" spans="3:26" ht="15" hidden="1" outlineLevel="2">
      <c r="C421" s="1486"/>
      <c r="D421" s="1464"/>
      <c r="E421" s="1466"/>
      <c r="F421" s="1472" t="s">
        <v>170</v>
      </c>
      <c r="G421" s="351"/>
      <c r="H421" s="335" t="s">
        <v>4</v>
      </c>
      <c r="I421" s="336"/>
      <c r="J421" s="336"/>
      <c r="K421" s="385"/>
      <c r="L421" s="385"/>
      <c r="M421" s="337"/>
      <c r="N421" s="336"/>
      <c r="O421" s="338">
        <f t="shared" si="194"/>
        <v>0</v>
      </c>
      <c r="P421" s="336"/>
      <c r="Q421" s="430"/>
      <c r="R421" s="28"/>
      <c r="S421" s="14"/>
      <c r="T421" s="423"/>
      <c r="U421" s="14"/>
      <c r="V421" s="14"/>
      <c r="W421" s="14"/>
      <c r="X421" s="14"/>
      <c r="Y421" s="14"/>
      <c r="Z421" s="14"/>
    </row>
    <row r="422" spans="3:26" ht="15" hidden="1" outlineLevel="2">
      <c r="C422" s="1486"/>
      <c r="D422" s="1464"/>
      <c r="E422" s="1466"/>
      <c r="F422" s="1468"/>
      <c r="G422" s="339"/>
      <c r="H422" s="335" t="s">
        <v>4</v>
      </c>
      <c r="I422" s="341"/>
      <c r="J422" s="341"/>
      <c r="K422" s="341"/>
      <c r="L422" s="341"/>
      <c r="M422" s="342"/>
      <c r="N422" s="341">
        <v>0</v>
      </c>
      <c r="O422" s="338">
        <f t="shared" si="194"/>
        <v>0</v>
      </c>
      <c r="P422" s="341"/>
      <c r="Q422" s="431"/>
      <c r="R422" s="28"/>
      <c r="S422" s="14"/>
      <c r="T422" s="423"/>
      <c r="U422" s="14"/>
      <c r="V422" s="14"/>
      <c r="W422" s="14"/>
      <c r="X422" s="14"/>
      <c r="Y422" s="14"/>
      <c r="Z422" s="14"/>
    </row>
    <row r="423" spans="3:26" ht="15" hidden="1" outlineLevel="2">
      <c r="C423" s="1486"/>
      <c r="D423" s="1464"/>
      <c r="E423" s="1466"/>
      <c r="F423" s="1468"/>
      <c r="G423" s="339"/>
      <c r="H423" s="335" t="s">
        <v>4</v>
      </c>
      <c r="I423" s="341"/>
      <c r="J423" s="341"/>
      <c r="K423" s="341"/>
      <c r="L423" s="341"/>
      <c r="M423" s="337"/>
      <c r="N423" s="341"/>
      <c r="O423" s="338">
        <f t="shared" si="194"/>
        <v>0</v>
      </c>
      <c r="P423" s="341"/>
      <c r="Q423" s="431"/>
      <c r="R423" s="28"/>
      <c r="S423" s="14"/>
      <c r="T423" s="423"/>
      <c r="U423" s="14"/>
      <c r="V423" s="14"/>
      <c r="W423" s="14"/>
      <c r="X423" s="14"/>
      <c r="Y423" s="14"/>
      <c r="Z423" s="14"/>
    </row>
    <row r="424" spans="3:26" ht="15" hidden="1" outlineLevel="2">
      <c r="C424" s="1486"/>
      <c r="D424" s="1464"/>
      <c r="E424" s="1466"/>
      <c r="F424" s="1468"/>
      <c r="G424" s="339"/>
      <c r="H424" s="335" t="s">
        <v>4</v>
      </c>
      <c r="I424" s="341"/>
      <c r="J424" s="341"/>
      <c r="K424" s="341"/>
      <c r="L424" s="341"/>
      <c r="M424" s="342"/>
      <c r="N424" s="341"/>
      <c r="O424" s="338">
        <f t="shared" si="194"/>
        <v>0</v>
      </c>
      <c r="P424" s="341"/>
      <c r="Q424" s="431"/>
      <c r="R424" s="28"/>
      <c r="S424" s="14"/>
      <c r="T424" s="423"/>
      <c r="U424" s="14"/>
      <c r="V424" s="14"/>
      <c r="W424" s="14"/>
      <c r="X424" s="14"/>
      <c r="Y424" s="14"/>
      <c r="Z424" s="14"/>
    </row>
    <row r="425" spans="3:26" ht="15" hidden="1" outlineLevel="2">
      <c r="C425" s="1486"/>
      <c r="D425" s="1464"/>
      <c r="E425" s="1466"/>
      <c r="F425" s="1468"/>
      <c r="G425" s="339"/>
      <c r="H425" s="335" t="s">
        <v>4</v>
      </c>
      <c r="I425" s="341"/>
      <c r="J425" s="341"/>
      <c r="K425" s="341"/>
      <c r="L425" s="341"/>
      <c r="M425" s="342"/>
      <c r="N425" s="341"/>
      <c r="O425" s="338">
        <f t="shared" si="194"/>
        <v>0</v>
      </c>
      <c r="P425" s="341"/>
      <c r="Q425" s="431"/>
      <c r="R425" s="28"/>
      <c r="S425" s="14"/>
      <c r="T425" s="423"/>
      <c r="U425" s="14"/>
      <c r="V425" s="14"/>
      <c r="W425" s="14"/>
      <c r="X425" s="14"/>
      <c r="Y425" s="14"/>
      <c r="Z425" s="14"/>
    </row>
    <row r="426" spans="3:26" ht="15" hidden="1" outlineLevel="2">
      <c r="C426" s="1486"/>
      <c r="D426" s="1464"/>
      <c r="E426" s="1466"/>
      <c r="F426" s="1468"/>
      <c r="G426" s="339"/>
      <c r="H426" s="335" t="s">
        <v>4</v>
      </c>
      <c r="I426" s="341"/>
      <c r="J426" s="341"/>
      <c r="K426" s="341"/>
      <c r="L426" s="341"/>
      <c r="M426" s="342"/>
      <c r="N426" s="341"/>
      <c r="O426" s="338">
        <f t="shared" si="194"/>
        <v>0</v>
      </c>
      <c r="P426" s="341"/>
      <c r="Q426" s="431"/>
      <c r="R426" s="28"/>
      <c r="S426" s="14"/>
      <c r="T426" s="423"/>
      <c r="U426" s="14"/>
      <c r="V426" s="14"/>
      <c r="W426" s="14"/>
      <c r="X426" s="14"/>
      <c r="Y426" s="14"/>
      <c r="Z426" s="14"/>
    </row>
    <row r="427" spans="3:26" ht="15" hidden="1" outlineLevel="2">
      <c r="C427" s="1486"/>
      <c r="D427" s="1464"/>
      <c r="E427" s="1466"/>
      <c r="F427" s="1468"/>
      <c r="G427" s="339"/>
      <c r="H427" s="335" t="s">
        <v>4</v>
      </c>
      <c r="I427" s="341"/>
      <c r="J427" s="341"/>
      <c r="K427" s="341"/>
      <c r="L427" s="341"/>
      <c r="M427" s="342"/>
      <c r="N427" s="341"/>
      <c r="O427" s="338">
        <f t="shared" si="194"/>
        <v>0</v>
      </c>
      <c r="P427" s="341"/>
      <c r="Q427" s="431"/>
      <c r="R427" s="28"/>
      <c r="S427" s="14"/>
      <c r="T427" s="423"/>
      <c r="U427" s="14"/>
      <c r="V427" s="14"/>
      <c r="W427" s="14"/>
      <c r="X427" s="14"/>
      <c r="Y427" s="14"/>
      <c r="Z427" s="14"/>
    </row>
    <row r="428" spans="3:26" ht="15" hidden="1" outlineLevel="2">
      <c r="C428" s="1486"/>
      <c r="D428" s="1464"/>
      <c r="E428" s="1466"/>
      <c r="F428" s="1468"/>
      <c r="G428" s="339"/>
      <c r="H428" s="335" t="s">
        <v>4</v>
      </c>
      <c r="I428" s="341"/>
      <c r="J428" s="341"/>
      <c r="K428" s="341"/>
      <c r="L428" s="341"/>
      <c r="M428" s="342"/>
      <c r="N428" s="341"/>
      <c r="O428" s="338">
        <f t="shared" si="194"/>
        <v>0</v>
      </c>
      <c r="P428" s="341"/>
      <c r="Q428" s="431"/>
      <c r="R428" s="28"/>
      <c r="S428" s="14"/>
      <c r="T428" s="423"/>
      <c r="U428" s="14"/>
      <c r="V428" s="14"/>
      <c r="W428" s="14"/>
      <c r="X428" s="14"/>
      <c r="Y428" s="14"/>
      <c r="Z428" s="14"/>
    </row>
    <row r="429" spans="3:26" ht="15" hidden="1" outlineLevel="2">
      <c r="C429" s="1486"/>
      <c r="D429" s="1464"/>
      <c r="E429" s="1466"/>
      <c r="F429" s="1468"/>
      <c r="G429" s="384"/>
      <c r="H429" s="335" t="s">
        <v>4</v>
      </c>
      <c r="I429" s="345"/>
      <c r="J429" s="345"/>
      <c r="K429" s="345"/>
      <c r="L429" s="345"/>
      <c r="M429" s="346"/>
      <c r="N429" s="345"/>
      <c r="O429" s="338">
        <f t="shared" si="194"/>
        <v>0</v>
      </c>
      <c r="P429" s="345"/>
      <c r="Q429" s="432"/>
      <c r="R429" s="28"/>
      <c r="S429" s="14"/>
      <c r="T429" s="423"/>
      <c r="U429" s="14"/>
      <c r="V429" s="14"/>
      <c r="W429" s="14"/>
      <c r="X429" s="14"/>
      <c r="Y429" s="14"/>
      <c r="Z429" s="14"/>
    </row>
    <row r="430" spans="3:26" ht="15" hidden="1" outlineLevel="2">
      <c r="C430" s="1486"/>
      <c r="D430" s="1464"/>
      <c r="E430" s="1466"/>
      <c r="F430" s="1468"/>
      <c r="G430" s="339"/>
      <c r="H430" s="335" t="s">
        <v>4</v>
      </c>
      <c r="I430" s="341"/>
      <c r="J430" s="341"/>
      <c r="K430" s="341"/>
      <c r="L430" s="341"/>
      <c r="M430" s="342"/>
      <c r="N430" s="341"/>
      <c r="O430" s="338">
        <f t="shared" si="194"/>
        <v>0</v>
      </c>
      <c r="P430" s="341"/>
      <c r="Q430" s="431"/>
      <c r="R430" s="28"/>
      <c r="S430" s="14"/>
      <c r="T430" s="423"/>
      <c r="U430" s="14"/>
      <c r="V430" s="14"/>
      <c r="W430" s="14"/>
      <c r="X430" s="14"/>
      <c r="Y430" s="14"/>
      <c r="Z430" s="14"/>
    </row>
    <row r="431" spans="3:26" ht="15" hidden="1" outlineLevel="2">
      <c r="C431" s="1486"/>
      <c r="D431" s="1464"/>
      <c r="E431" s="1466"/>
      <c r="F431" s="1468"/>
      <c r="G431" s="1470" t="s">
        <v>45</v>
      </c>
      <c r="H431" s="1471"/>
      <c r="I431" s="347">
        <f>SUM(I421:I430)</f>
        <v>0</v>
      </c>
      <c r="J431" s="347">
        <f t="shared" ref="J431" si="211">SUM(J421:J430)</f>
        <v>0</v>
      </c>
      <c r="K431" s="347">
        <f>SUMIFS(K421:K430,K421:K430,"&lt;&gt;",K421:K430,"&lt;"&amp;99^99)</f>
        <v>0</v>
      </c>
      <c r="L431" s="347">
        <f>SUMIFS(L421:L430,L421:L430,"&lt;&gt;",L421:L430,"&lt;"&amp;99^99)</f>
        <v>0</v>
      </c>
      <c r="M431" s="348"/>
      <c r="N431" s="347">
        <f>N421</f>
        <v>0</v>
      </c>
      <c r="O431" s="380">
        <f t="shared" ref="O431:O462" si="212">IF(N431=0,0,N431/J431)</f>
        <v>0</v>
      </c>
      <c r="P431" s="347">
        <f t="shared" ref="P431:Q431" si="213">SUM(P421:P430)</f>
        <v>0</v>
      </c>
      <c r="Q431" s="433">
        <f t="shared" si="213"/>
        <v>0</v>
      </c>
      <c r="R431" s="28"/>
      <c r="S431" s="14"/>
      <c r="T431" s="423"/>
      <c r="U431" s="14"/>
      <c r="V431" s="14"/>
      <c r="W431" s="14"/>
      <c r="X431" s="14"/>
      <c r="Y431" s="14"/>
      <c r="Z431" s="14"/>
    </row>
    <row r="432" spans="3:26" ht="15" hidden="1" outlineLevel="2">
      <c r="C432" s="1486"/>
      <c r="D432" s="1464"/>
      <c r="E432" s="1466"/>
      <c r="F432" s="1468"/>
      <c r="G432" s="351"/>
      <c r="H432" s="335" t="s">
        <v>28</v>
      </c>
      <c r="I432" s="336"/>
      <c r="J432" s="336"/>
      <c r="K432" s="336"/>
      <c r="L432" s="336"/>
      <c r="M432" s="337"/>
      <c r="N432" s="336"/>
      <c r="O432" s="338">
        <f t="shared" si="212"/>
        <v>0</v>
      </c>
      <c r="P432" s="336"/>
      <c r="Q432" s="430"/>
      <c r="R432" s="28"/>
      <c r="S432" s="14"/>
      <c r="T432" s="423"/>
      <c r="U432" s="14"/>
      <c r="V432" s="14"/>
      <c r="W432" s="14"/>
      <c r="X432" s="14"/>
      <c r="Y432" s="14"/>
      <c r="Z432" s="14"/>
    </row>
    <row r="433" spans="3:26" ht="15" hidden="1" outlineLevel="2">
      <c r="C433" s="1486"/>
      <c r="D433" s="1464"/>
      <c r="E433" s="1466"/>
      <c r="F433" s="1468"/>
      <c r="G433" s="339"/>
      <c r="H433" s="335" t="s">
        <v>28</v>
      </c>
      <c r="I433" s="341"/>
      <c r="J433" s="341"/>
      <c r="K433" s="341"/>
      <c r="L433" s="341"/>
      <c r="M433" s="342"/>
      <c r="N433" s="341"/>
      <c r="O433" s="338">
        <f t="shared" si="212"/>
        <v>0</v>
      </c>
      <c r="P433" s="341"/>
      <c r="Q433" s="431"/>
      <c r="R433" s="28"/>
      <c r="S433" s="14"/>
      <c r="T433" s="423"/>
      <c r="U433" s="14"/>
      <c r="V433" s="14"/>
      <c r="W433" s="14"/>
      <c r="X433" s="14"/>
      <c r="Y433" s="14"/>
      <c r="Z433" s="14"/>
    </row>
    <row r="434" spans="3:26" ht="15" hidden="1" outlineLevel="2">
      <c r="C434" s="1486"/>
      <c r="D434" s="1464"/>
      <c r="E434" s="1466"/>
      <c r="F434" s="1468"/>
      <c r="G434" s="339"/>
      <c r="H434" s="335" t="s">
        <v>28</v>
      </c>
      <c r="I434" s="341"/>
      <c r="J434" s="341"/>
      <c r="K434" s="341"/>
      <c r="L434" s="341"/>
      <c r="M434" s="337"/>
      <c r="N434" s="341"/>
      <c r="O434" s="338">
        <f t="shared" si="212"/>
        <v>0</v>
      </c>
      <c r="P434" s="341"/>
      <c r="Q434" s="431"/>
      <c r="R434" s="28"/>
      <c r="S434" s="14"/>
      <c r="T434" s="423"/>
      <c r="U434" s="14"/>
      <c r="V434" s="14"/>
      <c r="W434" s="14"/>
      <c r="X434" s="14"/>
      <c r="Y434" s="14"/>
      <c r="Z434" s="14"/>
    </row>
    <row r="435" spans="3:26" ht="15" hidden="1" outlineLevel="2">
      <c r="C435" s="1486"/>
      <c r="D435" s="1464"/>
      <c r="E435" s="1466"/>
      <c r="F435" s="1468"/>
      <c r="G435" s="339"/>
      <c r="H435" s="335" t="s">
        <v>28</v>
      </c>
      <c r="I435" s="341"/>
      <c r="J435" s="341"/>
      <c r="K435" s="341"/>
      <c r="L435" s="341"/>
      <c r="M435" s="342"/>
      <c r="N435" s="341"/>
      <c r="O435" s="338">
        <f t="shared" si="212"/>
        <v>0</v>
      </c>
      <c r="P435" s="341"/>
      <c r="Q435" s="431"/>
      <c r="R435" s="28"/>
      <c r="S435" s="14"/>
      <c r="T435" s="423"/>
      <c r="U435" s="14"/>
      <c r="V435" s="14"/>
      <c r="W435" s="14"/>
      <c r="X435" s="14"/>
      <c r="Y435" s="14"/>
      <c r="Z435" s="14"/>
    </row>
    <row r="436" spans="3:26" ht="15" hidden="1" outlineLevel="2">
      <c r="C436" s="1486"/>
      <c r="D436" s="1464"/>
      <c r="E436" s="1466"/>
      <c r="F436" s="1468"/>
      <c r="G436" s="339"/>
      <c r="H436" s="335" t="s">
        <v>28</v>
      </c>
      <c r="I436" s="341"/>
      <c r="J436" s="341"/>
      <c r="K436" s="341"/>
      <c r="L436" s="341"/>
      <c r="M436" s="342"/>
      <c r="N436" s="341"/>
      <c r="O436" s="338">
        <f t="shared" si="212"/>
        <v>0</v>
      </c>
      <c r="P436" s="341"/>
      <c r="Q436" s="431"/>
      <c r="R436" s="28"/>
      <c r="S436" s="14"/>
      <c r="T436" s="423"/>
      <c r="U436" s="14"/>
      <c r="V436" s="14"/>
      <c r="W436" s="14"/>
      <c r="X436" s="14"/>
      <c r="Y436" s="14"/>
      <c r="Z436" s="14"/>
    </row>
    <row r="437" spans="3:26" ht="15" hidden="1" outlineLevel="2">
      <c r="C437" s="1486"/>
      <c r="D437" s="1464"/>
      <c r="E437" s="1466"/>
      <c r="F437" s="1468"/>
      <c r="G437" s="339"/>
      <c r="H437" s="335" t="s">
        <v>28</v>
      </c>
      <c r="I437" s="341"/>
      <c r="J437" s="341"/>
      <c r="K437" s="341"/>
      <c r="L437" s="341"/>
      <c r="M437" s="342"/>
      <c r="N437" s="341"/>
      <c r="O437" s="338">
        <f t="shared" si="212"/>
        <v>0</v>
      </c>
      <c r="P437" s="341"/>
      <c r="Q437" s="431"/>
      <c r="R437" s="28"/>
      <c r="S437" s="14"/>
      <c r="T437" s="423"/>
      <c r="U437" s="14"/>
      <c r="V437" s="14"/>
      <c r="W437" s="14"/>
      <c r="X437" s="14"/>
      <c r="Y437" s="14"/>
      <c r="Z437" s="14"/>
    </row>
    <row r="438" spans="3:26" ht="15" hidden="1" outlineLevel="2">
      <c r="C438" s="1486"/>
      <c r="D438" s="1464"/>
      <c r="E438" s="1466"/>
      <c r="F438" s="1468"/>
      <c r="G438" s="339"/>
      <c r="H438" s="335" t="s">
        <v>28</v>
      </c>
      <c r="I438" s="341"/>
      <c r="J438" s="341"/>
      <c r="K438" s="341"/>
      <c r="L438" s="341"/>
      <c r="M438" s="342"/>
      <c r="N438" s="341"/>
      <c r="O438" s="338">
        <f t="shared" si="212"/>
        <v>0</v>
      </c>
      <c r="P438" s="341"/>
      <c r="Q438" s="431"/>
      <c r="R438" s="28"/>
      <c r="S438" s="29"/>
      <c r="T438" s="424"/>
      <c r="U438" s="29"/>
      <c r="V438" s="29"/>
      <c r="W438" s="29"/>
      <c r="X438" s="29"/>
      <c r="Y438" s="29"/>
      <c r="Z438" s="29"/>
    </row>
    <row r="439" spans="3:26" ht="15" hidden="1" outlineLevel="2">
      <c r="C439" s="1486"/>
      <c r="D439" s="1464"/>
      <c r="E439" s="1466"/>
      <c r="F439" s="1468"/>
      <c r="G439" s="339"/>
      <c r="H439" s="335" t="s">
        <v>28</v>
      </c>
      <c r="I439" s="341"/>
      <c r="J439" s="341"/>
      <c r="K439" s="341"/>
      <c r="L439" s="341"/>
      <c r="M439" s="342"/>
      <c r="N439" s="341"/>
      <c r="O439" s="338">
        <f t="shared" si="212"/>
        <v>0</v>
      </c>
      <c r="P439" s="341"/>
      <c r="Q439" s="431"/>
      <c r="R439" s="28"/>
      <c r="S439" s="14"/>
      <c r="T439" s="423"/>
      <c r="U439" s="14"/>
      <c r="V439" s="14"/>
      <c r="W439" s="14"/>
      <c r="X439" s="14"/>
      <c r="Y439" s="14"/>
      <c r="Z439" s="14"/>
    </row>
    <row r="440" spans="3:26" ht="15" hidden="1" outlineLevel="2">
      <c r="C440" s="1486"/>
      <c r="D440" s="1464"/>
      <c r="E440" s="1466"/>
      <c r="F440" s="1468"/>
      <c r="G440" s="384"/>
      <c r="H440" s="335" t="s">
        <v>28</v>
      </c>
      <c r="I440" s="345"/>
      <c r="J440" s="345"/>
      <c r="K440" s="345"/>
      <c r="L440" s="345"/>
      <c r="M440" s="346"/>
      <c r="N440" s="345"/>
      <c r="O440" s="338">
        <f t="shared" si="212"/>
        <v>0</v>
      </c>
      <c r="P440" s="345"/>
      <c r="Q440" s="432"/>
      <c r="R440" s="28"/>
      <c r="S440" s="14"/>
      <c r="T440" s="423"/>
      <c r="U440" s="14"/>
      <c r="V440" s="14"/>
      <c r="W440" s="14"/>
      <c r="X440" s="14"/>
      <c r="Y440" s="14"/>
      <c r="Z440" s="14"/>
    </row>
    <row r="441" spans="3:26" ht="15" hidden="1" outlineLevel="2">
      <c r="C441" s="1486"/>
      <c r="D441" s="1464"/>
      <c r="E441" s="1466"/>
      <c r="F441" s="1468"/>
      <c r="G441" s="339"/>
      <c r="H441" s="335" t="s">
        <v>28</v>
      </c>
      <c r="I441" s="341"/>
      <c r="J441" s="341"/>
      <c r="K441" s="341"/>
      <c r="L441" s="341"/>
      <c r="M441" s="342"/>
      <c r="N441" s="341"/>
      <c r="O441" s="338">
        <f t="shared" si="212"/>
        <v>0</v>
      </c>
      <c r="P441" s="341"/>
      <c r="Q441" s="431"/>
      <c r="R441" s="28"/>
      <c r="S441" s="14"/>
      <c r="T441" s="423"/>
      <c r="U441" s="14"/>
      <c r="V441" s="14"/>
      <c r="W441" s="14"/>
      <c r="X441" s="14"/>
      <c r="Y441" s="14"/>
      <c r="Z441" s="14"/>
    </row>
    <row r="442" spans="3:26" ht="15" hidden="1" outlineLevel="2">
      <c r="C442" s="1486"/>
      <c r="D442" s="1464"/>
      <c r="E442" s="1466"/>
      <c r="F442" s="1468"/>
      <c r="G442" s="1470" t="s">
        <v>51</v>
      </c>
      <c r="H442" s="1471"/>
      <c r="I442" s="347">
        <f>SUM(I432:I441)</f>
        <v>0</v>
      </c>
      <c r="J442" s="347">
        <f t="shared" ref="J442" si="214">SUM(J432:J441)</f>
        <v>0</v>
      </c>
      <c r="K442" s="347">
        <f>SUMIFS(K432:K441,K432:K441,"&lt;&gt;",K432:K441,"&lt;"&amp;99^99)</f>
        <v>0</v>
      </c>
      <c r="L442" s="347">
        <f>SUMIFS(L432:L441,L432:L441,"&lt;&gt;",L432:L441,"&lt;"&amp;99^99)</f>
        <v>0</v>
      </c>
      <c r="M442" s="348"/>
      <c r="N442" s="347">
        <f>N432</f>
        <v>0</v>
      </c>
      <c r="O442" s="380">
        <f t="shared" si="212"/>
        <v>0</v>
      </c>
      <c r="P442" s="347">
        <f t="shared" ref="P442:Q442" si="215">SUM(P432:P441)</f>
        <v>0</v>
      </c>
      <c r="Q442" s="433">
        <f t="shared" si="215"/>
        <v>0</v>
      </c>
      <c r="R442" s="28"/>
      <c r="S442" s="14"/>
      <c r="T442" s="423"/>
      <c r="U442" s="14"/>
      <c r="V442" s="14"/>
      <c r="W442" s="14"/>
      <c r="X442" s="14"/>
      <c r="Y442" s="14"/>
      <c r="Z442" s="14"/>
    </row>
    <row r="443" spans="3:26" ht="15" hidden="1" outlineLevel="2">
      <c r="C443" s="1486"/>
      <c r="D443" s="1464"/>
      <c r="E443" s="1466"/>
      <c r="F443" s="1468"/>
      <c r="G443" s="351"/>
      <c r="H443" s="335" t="s">
        <v>22</v>
      </c>
      <c r="I443" s="336"/>
      <c r="J443" s="336"/>
      <c r="K443" s="336"/>
      <c r="L443" s="336"/>
      <c r="M443" s="337"/>
      <c r="N443" s="336"/>
      <c r="O443" s="338">
        <f t="shared" si="212"/>
        <v>0</v>
      </c>
      <c r="P443" s="336"/>
      <c r="Q443" s="430"/>
      <c r="R443" s="28"/>
      <c r="S443" s="14"/>
      <c r="T443" s="423"/>
      <c r="U443" s="14"/>
      <c r="V443" s="14"/>
      <c r="W443" s="14"/>
      <c r="X443" s="14"/>
      <c r="Y443" s="14"/>
      <c r="Z443" s="14"/>
    </row>
    <row r="444" spans="3:26" ht="15" hidden="1" outlineLevel="2">
      <c r="C444" s="1486"/>
      <c r="D444" s="1464"/>
      <c r="E444" s="1466"/>
      <c r="F444" s="1468"/>
      <c r="G444" s="339"/>
      <c r="H444" s="335" t="s">
        <v>22</v>
      </c>
      <c r="I444" s="341"/>
      <c r="J444" s="341"/>
      <c r="K444" s="341"/>
      <c r="L444" s="341"/>
      <c r="M444" s="342"/>
      <c r="N444" s="341"/>
      <c r="O444" s="338">
        <f t="shared" si="212"/>
        <v>0</v>
      </c>
      <c r="P444" s="341"/>
      <c r="Q444" s="431"/>
      <c r="R444" s="28"/>
      <c r="S444" s="14"/>
      <c r="T444" s="423"/>
      <c r="U444" s="14"/>
      <c r="V444" s="14"/>
      <c r="W444" s="14"/>
      <c r="X444" s="14"/>
      <c r="Y444" s="14"/>
      <c r="Z444" s="14"/>
    </row>
    <row r="445" spans="3:26" ht="15" hidden="1" outlineLevel="2">
      <c r="C445" s="1486"/>
      <c r="D445" s="1464"/>
      <c r="E445" s="1466"/>
      <c r="F445" s="1468"/>
      <c r="G445" s="339"/>
      <c r="H445" s="335" t="s">
        <v>22</v>
      </c>
      <c r="I445" s="341"/>
      <c r="J445" s="341"/>
      <c r="K445" s="341"/>
      <c r="L445" s="341"/>
      <c r="M445" s="337"/>
      <c r="N445" s="341"/>
      <c r="O445" s="338">
        <f t="shared" si="212"/>
        <v>0</v>
      </c>
      <c r="P445" s="341"/>
      <c r="Q445" s="431"/>
      <c r="R445" s="28"/>
      <c r="S445" s="14"/>
      <c r="T445" s="423"/>
      <c r="U445" s="14"/>
      <c r="V445" s="14"/>
      <c r="W445" s="14"/>
      <c r="X445" s="14"/>
      <c r="Y445" s="14"/>
      <c r="Z445" s="14"/>
    </row>
    <row r="446" spans="3:26" ht="15" hidden="1" outlineLevel="2">
      <c r="C446" s="1486"/>
      <c r="D446" s="1464"/>
      <c r="E446" s="1466"/>
      <c r="F446" s="1468"/>
      <c r="G446" s="339"/>
      <c r="H446" s="335" t="s">
        <v>22</v>
      </c>
      <c r="I446" s="341"/>
      <c r="J446" s="341"/>
      <c r="K446" s="341"/>
      <c r="L446" s="341"/>
      <c r="M446" s="342"/>
      <c r="N446" s="341"/>
      <c r="O446" s="338">
        <f t="shared" si="212"/>
        <v>0</v>
      </c>
      <c r="P446" s="341"/>
      <c r="Q446" s="431"/>
      <c r="R446" s="28"/>
      <c r="S446" s="14"/>
      <c r="T446" s="423"/>
      <c r="U446" s="14"/>
      <c r="V446" s="14"/>
      <c r="W446" s="14"/>
      <c r="X446" s="14"/>
      <c r="Y446" s="14"/>
      <c r="Z446" s="14"/>
    </row>
    <row r="447" spans="3:26" ht="15" hidden="1" outlineLevel="2">
      <c r="C447" s="1486"/>
      <c r="D447" s="1464"/>
      <c r="E447" s="1466"/>
      <c r="F447" s="1468"/>
      <c r="G447" s="339"/>
      <c r="H447" s="335" t="s">
        <v>22</v>
      </c>
      <c r="I447" s="341"/>
      <c r="J447" s="341"/>
      <c r="K447" s="341"/>
      <c r="L447" s="341"/>
      <c r="M447" s="342"/>
      <c r="N447" s="341"/>
      <c r="O447" s="338">
        <f t="shared" si="212"/>
        <v>0</v>
      </c>
      <c r="P447" s="341"/>
      <c r="Q447" s="431"/>
      <c r="R447" s="28"/>
      <c r="S447" s="14"/>
      <c r="T447" s="423"/>
      <c r="U447" s="14"/>
      <c r="V447" s="14"/>
      <c r="W447" s="14"/>
      <c r="X447" s="14"/>
      <c r="Y447" s="14"/>
      <c r="Z447" s="14"/>
    </row>
    <row r="448" spans="3:26" ht="15" hidden="1" outlineLevel="2">
      <c r="C448" s="1486"/>
      <c r="D448" s="1464"/>
      <c r="E448" s="1466"/>
      <c r="F448" s="1468"/>
      <c r="G448" s="339"/>
      <c r="H448" s="335" t="s">
        <v>22</v>
      </c>
      <c r="I448" s="341"/>
      <c r="J448" s="341"/>
      <c r="K448" s="341"/>
      <c r="L448" s="341"/>
      <c r="M448" s="342"/>
      <c r="N448" s="341"/>
      <c r="O448" s="338">
        <f t="shared" si="212"/>
        <v>0</v>
      </c>
      <c r="P448" s="341"/>
      <c r="Q448" s="431"/>
      <c r="R448" s="28"/>
      <c r="S448" s="14"/>
      <c r="T448" s="423"/>
      <c r="U448" s="14"/>
      <c r="V448" s="14"/>
      <c r="W448" s="14"/>
      <c r="X448" s="14"/>
      <c r="Y448" s="14"/>
      <c r="Z448" s="14"/>
    </row>
    <row r="449" spans="3:26" ht="15" hidden="1" outlineLevel="2">
      <c r="C449" s="1486"/>
      <c r="D449" s="1464"/>
      <c r="E449" s="1466"/>
      <c r="F449" s="1468"/>
      <c r="G449" s="339"/>
      <c r="H449" s="335" t="s">
        <v>22</v>
      </c>
      <c r="I449" s="341"/>
      <c r="J449" s="341"/>
      <c r="K449" s="341"/>
      <c r="L449" s="341"/>
      <c r="M449" s="342"/>
      <c r="N449" s="341"/>
      <c r="O449" s="338">
        <f t="shared" si="212"/>
        <v>0</v>
      </c>
      <c r="P449" s="341"/>
      <c r="Q449" s="431"/>
      <c r="R449" s="28"/>
      <c r="S449" s="14"/>
      <c r="T449" s="423"/>
      <c r="U449" s="14"/>
      <c r="V449" s="14"/>
      <c r="W449" s="14"/>
      <c r="X449" s="14"/>
      <c r="Y449" s="14"/>
      <c r="Z449" s="14"/>
    </row>
    <row r="450" spans="3:26" ht="15" hidden="1" outlineLevel="2">
      <c r="C450" s="1486"/>
      <c r="D450" s="1464"/>
      <c r="E450" s="1466"/>
      <c r="F450" s="1468"/>
      <c r="G450" s="339"/>
      <c r="H450" s="335" t="s">
        <v>22</v>
      </c>
      <c r="I450" s="341"/>
      <c r="J450" s="341"/>
      <c r="K450" s="341"/>
      <c r="L450" s="341"/>
      <c r="M450" s="342"/>
      <c r="N450" s="341"/>
      <c r="O450" s="338">
        <f t="shared" si="212"/>
        <v>0</v>
      </c>
      <c r="P450" s="341"/>
      <c r="Q450" s="431"/>
      <c r="R450" s="28"/>
      <c r="S450" s="14"/>
      <c r="T450" s="423"/>
      <c r="U450" s="14"/>
      <c r="V450" s="14"/>
      <c r="W450" s="14"/>
      <c r="X450" s="14"/>
      <c r="Y450" s="14"/>
      <c r="Z450" s="14"/>
    </row>
    <row r="451" spans="3:26" ht="15" hidden="1" outlineLevel="2">
      <c r="C451" s="1486"/>
      <c r="D451" s="1464"/>
      <c r="E451" s="1466"/>
      <c r="F451" s="1468"/>
      <c r="G451" s="384"/>
      <c r="H451" s="335" t="s">
        <v>22</v>
      </c>
      <c r="I451" s="345"/>
      <c r="J451" s="345"/>
      <c r="K451" s="345"/>
      <c r="L451" s="345"/>
      <c r="M451" s="346"/>
      <c r="N451" s="345"/>
      <c r="O451" s="338">
        <f t="shared" si="212"/>
        <v>0</v>
      </c>
      <c r="P451" s="345"/>
      <c r="Q451" s="432"/>
      <c r="R451" s="28"/>
      <c r="S451" s="14"/>
      <c r="T451" s="423"/>
      <c r="U451" s="14"/>
      <c r="V451" s="14"/>
      <c r="W451" s="14"/>
      <c r="X451" s="14"/>
      <c r="Y451" s="14"/>
      <c r="Z451" s="14"/>
    </row>
    <row r="452" spans="3:26" ht="15" hidden="1" outlineLevel="2">
      <c r="C452" s="1486"/>
      <c r="D452" s="1464"/>
      <c r="E452" s="1466"/>
      <c r="F452" s="1468"/>
      <c r="G452" s="339"/>
      <c r="H452" s="335" t="s">
        <v>22</v>
      </c>
      <c r="I452" s="341"/>
      <c r="J452" s="341"/>
      <c r="K452" s="341"/>
      <c r="L452" s="341"/>
      <c r="M452" s="342"/>
      <c r="N452" s="341"/>
      <c r="O452" s="338">
        <f t="shared" si="212"/>
        <v>0</v>
      </c>
      <c r="P452" s="341"/>
      <c r="Q452" s="431"/>
      <c r="R452" s="28"/>
      <c r="S452" s="14"/>
      <c r="T452" s="423"/>
      <c r="U452" s="14"/>
      <c r="V452" s="14"/>
      <c r="W452" s="14"/>
      <c r="X452" s="14"/>
      <c r="Y452" s="14"/>
      <c r="Z452" s="14"/>
    </row>
    <row r="453" spans="3:26" ht="15" hidden="1" outlineLevel="2">
      <c r="C453" s="1486"/>
      <c r="D453" s="1464"/>
      <c r="E453" s="1466"/>
      <c r="F453" s="1468"/>
      <c r="G453" s="1470" t="s">
        <v>44</v>
      </c>
      <c r="H453" s="1471"/>
      <c r="I453" s="347">
        <f>SUM(I443:I452)</f>
        <v>0</v>
      </c>
      <c r="J453" s="347">
        <f t="shared" ref="J453" si="216">SUM(J443:J452)</f>
        <v>0</v>
      </c>
      <c r="K453" s="347">
        <f>SUMIFS(K443:K452,K443:K452,"&lt;&gt;",K443:K452,"&lt;"&amp;99^99)</f>
        <v>0</v>
      </c>
      <c r="L453" s="347">
        <f>SUMIFS(L443:L452,L443:L452,"&lt;&gt;",L443:L452,"&lt;"&amp;99^99)</f>
        <v>0</v>
      </c>
      <c r="M453" s="348"/>
      <c r="N453" s="347">
        <f>N443</f>
        <v>0</v>
      </c>
      <c r="O453" s="380">
        <f t="shared" si="212"/>
        <v>0</v>
      </c>
      <c r="P453" s="347">
        <f t="shared" ref="P453:Q453" si="217">SUM(P443:P452)</f>
        <v>0</v>
      </c>
      <c r="Q453" s="433">
        <f t="shared" si="217"/>
        <v>0</v>
      </c>
      <c r="R453" s="28"/>
      <c r="S453" s="14"/>
      <c r="T453" s="423"/>
      <c r="U453" s="14"/>
      <c r="V453" s="14"/>
      <c r="W453" s="14"/>
      <c r="X453" s="14"/>
      <c r="Y453" s="14"/>
      <c r="Z453" s="14"/>
    </row>
    <row r="454" spans="3:26" ht="15" outlineLevel="1" collapsed="1">
      <c r="C454" s="1486"/>
      <c r="D454" s="1464"/>
      <c r="E454" s="1466"/>
      <c r="F454" s="1469"/>
      <c r="G454" s="1470" t="s">
        <v>177</v>
      </c>
      <c r="H454" s="1471"/>
      <c r="I454" s="347">
        <f>(I431/usdrate)+(I442*jodrate)+I453</f>
        <v>0</v>
      </c>
      <c r="J454" s="347">
        <f>(J431/usdrate)+(J442*jodrate)+J453</f>
        <v>0</v>
      </c>
      <c r="K454" s="347">
        <f>(K431/usdrate)+(K442*jodrate)+K453</f>
        <v>0</v>
      </c>
      <c r="L454" s="347">
        <f>(L431/usdrate)+(L442*jodrate)+L453</f>
        <v>0</v>
      </c>
      <c r="M454" s="348"/>
      <c r="N454" s="347">
        <f>(N431/usdrate)+(N442*jodrate)+N453</f>
        <v>0</v>
      </c>
      <c r="O454" s="380">
        <f t="shared" si="212"/>
        <v>0</v>
      </c>
      <c r="P454" s="347">
        <f>(P431/usdrate)+(P442*jodrate)+P453</f>
        <v>0</v>
      </c>
      <c r="Q454" s="433">
        <f>(Q431/usdrate)+(Q442*jodrate)+Q453</f>
        <v>0</v>
      </c>
      <c r="R454" s="28"/>
      <c r="S454" s="14"/>
      <c r="T454" s="423"/>
      <c r="U454" s="14"/>
      <c r="V454" s="14"/>
      <c r="W454" s="14"/>
      <c r="X454" s="14"/>
      <c r="Y454" s="14"/>
      <c r="Z454" s="14"/>
    </row>
    <row r="455" spans="3:26" ht="15" hidden="1" outlineLevel="2">
      <c r="C455" s="1486"/>
      <c r="D455" s="1464"/>
      <c r="E455" s="1466"/>
      <c r="F455" s="1472" t="s">
        <v>171</v>
      </c>
      <c r="G455" s="339"/>
      <c r="H455" s="335" t="s">
        <v>4</v>
      </c>
      <c r="I455" s="341"/>
      <c r="J455" s="341"/>
      <c r="K455" s="370"/>
      <c r="L455" s="370"/>
      <c r="M455" s="337"/>
      <c r="N455" s="336"/>
      <c r="O455" s="338">
        <f t="shared" si="212"/>
        <v>0</v>
      </c>
      <c r="P455" s="341"/>
      <c r="Q455" s="431"/>
      <c r="R455" s="28"/>
      <c r="S455" s="14"/>
      <c r="T455" s="423"/>
      <c r="U455" s="14"/>
      <c r="V455" s="14"/>
      <c r="W455" s="14"/>
      <c r="X455" s="14"/>
      <c r="Y455" s="14"/>
      <c r="Z455" s="14"/>
    </row>
    <row r="456" spans="3:26" ht="15" hidden="1" outlineLevel="2">
      <c r="C456" s="1486"/>
      <c r="D456" s="1464"/>
      <c r="E456" s="1466"/>
      <c r="F456" s="1468"/>
      <c r="G456" s="339"/>
      <c r="H456" s="335" t="s">
        <v>4</v>
      </c>
      <c r="I456" s="341"/>
      <c r="J456" s="341"/>
      <c r="K456" s="341"/>
      <c r="L456" s="341"/>
      <c r="M456" s="342"/>
      <c r="N456" s="341">
        <v>0</v>
      </c>
      <c r="O456" s="338">
        <f t="shared" si="212"/>
        <v>0</v>
      </c>
      <c r="P456" s="341"/>
      <c r="Q456" s="431"/>
      <c r="R456" s="28"/>
      <c r="S456" s="14"/>
      <c r="T456" s="423"/>
      <c r="U456" s="14"/>
      <c r="V456" s="14"/>
      <c r="W456" s="14"/>
      <c r="X456" s="14"/>
      <c r="Y456" s="14"/>
      <c r="Z456" s="14"/>
    </row>
    <row r="457" spans="3:26" ht="15" hidden="1" outlineLevel="2">
      <c r="C457" s="1486"/>
      <c r="D457" s="1464"/>
      <c r="E457" s="1466"/>
      <c r="F457" s="1468"/>
      <c r="G457" s="339"/>
      <c r="H457" s="335" t="s">
        <v>4</v>
      </c>
      <c r="I457" s="341"/>
      <c r="J457" s="341"/>
      <c r="K457" s="341"/>
      <c r="L457" s="341"/>
      <c r="M457" s="337"/>
      <c r="N457" s="341"/>
      <c r="O457" s="338">
        <f t="shared" si="212"/>
        <v>0</v>
      </c>
      <c r="P457" s="341"/>
      <c r="Q457" s="431"/>
      <c r="R457" s="28"/>
      <c r="S457" s="14"/>
      <c r="T457" s="423"/>
      <c r="U457" s="14"/>
      <c r="V457" s="14"/>
      <c r="W457" s="14"/>
      <c r="X457" s="14"/>
      <c r="Y457" s="14"/>
      <c r="Z457" s="14"/>
    </row>
    <row r="458" spans="3:26" ht="15" hidden="1" outlineLevel="2">
      <c r="C458" s="1486"/>
      <c r="D458" s="1464"/>
      <c r="E458" s="1466"/>
      <c r="F458" s="1468"/>
      <c r="G458" s="339"/>
      <c r="H458" s="335" t="s">
        <v>4</v>
      </c>
      <c r="I458" s="341"/>
      <c r="J458" s="341"/>
      <c r="K458" s="341"/>
      <c r="L458" s="341"/>
      <c r="M458" s="342"/>
      <c r="N458" s="341"/>
      <c r="O458" s="338">
        <f t="shared" si="212"/>
        <v>0</v>
      </c>
      <c r="P458" s="341"/>
      <c r="Q458" s="431"/>
      <c r="R458" s="28"/>
      <c r="S458" s="14"/>
      <c r="T458" s="423"/>
      <c r="U458" s="14"/>
      <c r="V458" s="14"/>
      <c r="W458" s="14"/>
      <c r="X458" s="14"/>
      <c r="Y458" s="14"/>
      <c r="Z458" s="14"/>
    </row>
    <row r="459" spans="3:26" ht="15" hidden="1" outlineLevel="2">
      <c r="C459" s="1486"/>
      <c r="D459" s="1464"/>
      <c r="E459" s="1466"/>
      <c r="F459" s="1468"/>
      <c r="G459" s="339"/>
      <c r="H459" s="335" t="s">
        <v>4</v>
      </c>
      <c r="I459" s="341"/>
      <c r="J459" s="341"/>
      <c r="K459" s="341"/>
      <c r="L459" s="341"/>
      <c r="M459" s="342"/>
      <c r="N459" s="341"/>
      <c r="O459" s="338">
        <f t="shared" si="212"/>
        <v>0</v>
      </c>
      <c r="P459" s="341"/>
      <c r="Q459" s="431"/>
      <c r="R459" s="28"/>
      <c r="S459" s="29"/>
      <c r="T459" s="424"/>
      <c r="U459" s="29"/>
      <c r="V459" s="29"/>
      <c r="W459" s="29"/>
      <c r="X459" s="29"/>
      <c r="Y459" s="29"/>
      <c r="Z459" s="29"/>
    </row>
    <row r="460" spans="3:26" ht="15" hidden="1" outlineLevel="2">
      <c r="C460" s="1486"/>
      <c r="D460" s="1464"/>
      <c r="E460" s="1466"/>
      <c r="F460" s="1468"/>
      <c r="G460" s="339"/>
      <c r="H460" s="335" t="s">
        <v>4</v>
      </c>
      <c r="I460" s="341"/>
      <c r="J460" s="341"/>
      <c r="K460" s="341"/>
      <c r="L460" s="341"/>
      <c r="M460" s="342"/>
      <c r="N460" s="341"/>
      <c r="O460" s="338">
        <f t="shared" si="212"/>
        <v>0</v>
      </c>
      <c r="P460" s="341"/>
      <c r="Q460" s="431"/>
      <c r="R460" s="28"/>
      <c r="S460" s="14"/>
      <c r="T460" s="423"/>
      <c r="U460" s="14"/>
      <c r="V460" s="14"/>
      <c r="W460" s="14"/>
      <c r="X460" s="14"/>
      <c r="Y460" s="14"/>
      <c r="Z460" s="14"/>
    </row>
    <row r="461" spans="3:26" ht="15" hidden="1" outlineLevel="2">
      <c r="C461" s="1486"/>
      <c r="D461" s="1464"/>
      <c r="E461" s="1466"/>
      <c r="F461" s="1468"/>
      <c r="G461" s="339"/>
      <c r="H461" s="335" t="s">
        <v>4</v>
      </c>
      <c r="I461" s="341"/>
      <c r="J461" s="341"/>
      <c r="K461" s="341"/>
      <c r="L461" s="341"/>
      <c r="M461" s="342"/>
      <c r="N461" s="341"/>
      <c r="O461" s="338">
        <f t="shared" si="212"/>
        <v>0</v>
      </c>
      <c r="P461" s="341"/>
      <c r="Q461" s="431"/>
      <c r="R461" s="28"/>
      <c r="S461" s="14"/>
      <c r="T461" s="423"/>
      <c r="U461" s="14"/>
      <c r="V461" s="14"/>
      <c r="W461" s="14"/>
      <c r="X461" s="14"/>
      <c r="Y461" s="14"/>
      <c r="Z461" s="14"/>
    </row>
    <row r="462" spans="3:26" ht="15" hidden="1" outlineLevel="2">
      <c r="C462" s="1486"/>
      <c r="D462" s="1464"/>
      <c r="E462" s="1466"/>
      <c r="F462" s="1468"/>
      <c r="G462" s="339"/>
      <c r="H462" s="335" t="s">
        <v>4</v>
      </c>
      <c r="I462" s="341"/>
      <c r="J462" s="341"/>
      <c r="K462" s="341"/>
      <c r="L462" s="341"/>
      <c r="M462" s="342"/>
      <c r="N462" s="341"/>
      <c r="O462" s="338">
        <f t="shared" si="212"/>
        <v>0</v>
      </c>
      <c r="P462" s="341"/>
      <c r="Q462" s="431"/>
      <c r="R462" s="28"/>
      <c r="S462" s="14"/>
      <c r="T462" s="423"/>
      <c r="U462" s="14"/>
      <c r="V462" s="14"/>
      <c r="W462" s="14"/>
      <c r="X462" s="14"/>
      <c r="Y462" s="14"/>
      <c r="Z462" s="14"/>
    </row>
    <row r="463" spans="3:26" ht="15" hidden="1" outlineLevel="2">
      <c r="C463" s="1486"/>
      <c r="D463" s="1464"/>
      <c r="E463" s="1466"/>
      <c r="F463" s="1468"/>
      <c r="G463" s="384"/>
      <c r="H463" s="335" t="s">
        <v>4</v>
      </c>
      <c r="I463" s="345"/>
      <c r="J463" s="345"/>
      <c r="K463" s="345"/>
      <c r="L463" s="345"/>
      <c r="M463" s="346"/>
      <c r="N463" s="345"/>
      <c r="O463" s="338">
        <f t="shared" ref="O463:O488" si="218">IF(N463=0,0,N463/J463)</f>
        <v>0</v>
      </c>
      <c r="P463" s="345"/>
      <c r="Q463" s="432"/>
      <c r="R463" s="28"/>
      <c r="S463" s="30"/>
      <c r="T463" s="424"/>
      <c r="U463" s="30"/>
      <c r="V463" s="30"/>
      <c r="W463" s="30"/>
      <c r="X463" s="30"/>
      <c r="Y463" s="30"/>
      <c r="Z463" s="30"/>
    </row>
    <row r="464" spans="3:26" ht="15" hidden="1" outlineLevel="2">
      <c r="C464" s="1486"/>
      <c r="D464" s="1464"/>
      <c r="E464" s="1466"/>
      <c r="F464" s="1468"/>
      <c r="G464" s="339"/>
      <c r="H464" s="335" t="s">
        <v>4</v>
      </c>
      <c r="I464" s="341"/>
      <c r="J464" s="341"/>
      <c r="K464" s="341"/>
      <c r="L464" s="341"/>
      <c r="M464" s="342"/>
      <c r="N464" s="341"/>
      <c r="O464" s="338">
        <f t="shared" si="218"/>
        <v>0</v>
      </c>
      <c r="P464" s="341"/>
      <c r="Q464" s="431"/>
      <c r="R464" s="28"/>
      <c r="S464" s="14"/>
      <c r="T464" s="423"/>
      <c r="U464" s="14"/>
      <c r="V464" s="14"/>
      <c r="W464" s="14"/>
      <c r="X464" s="14"/>
      <c r="Y464" s="14"/>
      <c r="Z464" s="14"/>
    </row>
    <row r="465" spans="3:26" ht="15" hidden="1" outlineLevel="2">
      <c r="C465" s="1486"/>
      <c r="D465" s="1464"/>
      <c r="E465" s="1466"/>
      <c r="F465" s="1468"/>
      <c r="G465" s="1470" t="s">
        <v>45</v>
      </c>
      <c r="H465" s="1471"/>
      <c r="I465" s="347">
        <f>SUM(I455:I464)</f>
        <v>0</v>
      </c>
      <c r="J465" s="347">
        <f t="shared" ref="J465" si="219">SUM(J455:J464)</f>
        <v>0</v>
      </c>
      <c r="K465" s="347">
        <f>SUMIFS(K455:K464,K455:K464,"&lt;&gt;",K455:K464,"&lt;"&amp;99^99)</f>
        <v>0</v>
      </c>
      <c r="L465" s="347">
        <f>SUMIFS(L455:L464,L455:L464,"&lt;&gt;",L455:L464,"&lt;"&amp;99^99)</f>
        <v>0</v>
      </c>
      <c r="M465" s="348"/>
      <c r="N465" s="347">
        <f>N455</f>
        <v>0</v>
      </c>
      <c r="O465" s="380">
        <f t="shared" si="218"/>
        <v>0</v>
      </c>
      <c r="P465" s="347">
        <f t="shared" ref="P465:Q465" si="220">SUM(P455:P464)</f>
        <v>0</v>
      </c>
      <c r="Q465" s="433">
        <f t="shared" si="220"/>
        <v>0</v>
      </c>
      <c r="R465" s="28"/>
      <c r="S465" s="14"/>
      <c r="T465" s="423"/>
      <c r="U465" s="14"/>
      <c r="V465" s="14"/>
      <c r="W465" s="14"/>
      <c r="X465" s="14"/>
      <c r="Y465" s="14"/>
      <c r="Z465" s="14"/>
    </row>
    <row r="466" spans="3:26" ht="15" hidden="1" outlineLevel="2">
      <c r="C466" s="1486"/>
      <c r="D466" s="1464"/>
      <c r="E466" s="1466"/>
      <c r="F466" s="1468"/>
      <c r="G466" s="351"/>
      <c r="H466" s="335" t="s">
        <v>28</v>
      </c>
      <c r="I466" s="336"/>
      <c r="J466" s="336"/>
      <c r="K466" s="336"/>
      <c r="L466" s="336"/>
      <c r="M466" s="337"/>
      <c r="N466" s="336"/>
      <c r="O466" s="338">
        <f t="shared" si="218"/>
        <v>0</v>
      </c>
      <c r="P466" s="336"/>
      <c r="Q466" s="430"/>
      <c r="R466" s="28"/>
      <c r="S466" s="14"/>
      <c r="T466" s="423"/>
      <c r="U466" s="14"/>
      <c r="V466" s="14"/>
      <c r="W466" s="14"/>
      <c r="X466" s="14"/>
      <c r="Y466" s="14"/>
      <c r="Z466" s="14"/>
    </row>
    <row r="467" spans="3:26" ht="15" hidden="1" outlineLevel="2">
      <c r="C467" s="1486"/>
      <c r="D467" s="1464"/>
      <c r="E467" s="1466"/>
      <c r="F467" s="1468"/>
      <c r="G467" s="339"/>
      <c r="H467" s="335" t="s">
        <v>28</v>
      </c>
      <c r="I467" s="341"/>
      <c r="J467" s="341"/>
      <c r="K467" s="341"/>
      <c r="L467" s="341"/>
      <c r="M467" s="342"/>
      <c r="N467" s="341"/>
      <c r="O467" s="338">
        <f t="shared" si="218"/>
        <v>0</v>
      </c>
      <c r="P467" s="341"/>
      <c r="Q467" s="431"/>
      <c r="R467" s="28"/>
      <c r="S467" s="30"/>
      <c r="T467" s="424"/>
      <c r="U467" s="30"/>
      <c r="V467" s="30"/>
      <c r="W467" s="30"/>
      <c r="X467" s="30"/>
      <c r="Y467" s="30"/>
      <c r="Z467" s="30"/>
    </row>
    <row r="468" spans="3:26" ht="15" hidden="1" outlineLevel="2">
      <c r="C468" s="1486"/>
      <c r="D468" s="1464"/>
      <c r="E468" s="1466"/>
      <c r="F468" s="1468"/>
      <c r="G468" s="339"/>
      <c r="H468" s="335" t="s">
        <v>28</v>
      </c>
      <c r="I468" s="341"/>
      <c r="J468" s="341"/>
      <c r="K468" s="341"/>
      <c r="L468" s="341"/>
      <c r="M468" s="337"/>
      <c r="N468" s="341"/>
      <c r="O468" s="338">
        <f t="shared" si="218"/>
        <v>0</v>
      </c>
      <c r="P468" s="341"/>
      <c r="Q468" s="431"/>
      <c r="R468" s="28"/>
      <c r="S468" s="14"/>
      <c r="T468" s="423"/>
      <c r="U468" s="14"/>
      <c r="V468" s="14"/>
      <c r="W468" s="14"/>
      <c r="X468" s="14"/>
      <c r="Y468" s="14"/>
      <c r="Z468" s="14"/>
    </row>
    <row r="469" spans="3:26" ht="15" hidden="1" outlineLevel="2">
      <c r="C469" s="1486"/>
      <c r="D469" s="1464"/>
      <c r="E469" s="1466"/>
      <c r="F469" s="1468"/>
      <c r="G469" s="339"/>
      <c r="H469" s="335" t="s">
        <v>28</v>
      </c>
      <c r="I469" s="341"/>
      <c r="J469" s="341"/>
      <c r="K469" s="341"/>
      <c r="L469" s="341"/>
      <c r="M469" s="342"/>
      <c r="N469" s="341"/>
      <c r="O469" s="338">
        <f t="shared" si="218"/>
        <v>0</v>
      </c>
      <c r="P469" s="341"/>
      <c r="Q469" s="431"/>
      <c r="R469" s="28"/>
      <c r="S469" s="14"/>
      <c r="T469" s="423"/>
      <c r="U469" s="14"/>
      <c r="V469" s="14"/>
      <c r="W469" s="14"/>
      <c r="X469" s="14"/>
      <c r="Y469" s="14"/>
      <c r="Z469" s="14"/>
    </row>
    <row r="470" spans="3:26" ht="15" hidden="1" outlineLevel="2">
      <c r="C470" s="1486"/>
      <c r="D470" s="1464"/>
      <c r="E470" s="1466"/>
      <c r="F470" s="1468"/>
      <c r="G470" s="339"/>
      <c r="H470" s="335" t="s">
        <v>28</v>
      </c>
      <c r="I470" s="341"/>
      <c r="J470" s="341"/>
      <c r="K470" s="341"/>
      <c r="L470" s="341"/>
      <c r="M470" s="342"/>
      <c r="N470" s="341"/>
      <c r="O470" s="338">
        <f t="shared" si="218"/>
        <v>0</v>
      </c>
      <c r="P470" s="341"/>
      <c r="Q470" s="431"/>
      <c r="R470" s="28"/>
      <c r="S470" s="30"/>
      <c r="T470" s="424"/>
      <c r="U470" s="30"/>
      <c r="V470" s="30"/>
      <c r="W470" s="30"/>
      <c r="X470" s="30"/>
      <c r="Y470" s="30"/>
      <c r="Z470" s="30"/>
    </row>
    <row r="471" spans="3:26" ht="15" hidden="1" outlineLevel="2">
      <c r="C471" s="1486"/>
      <c r="D471" s="1464"/>
      <c r="E471" s="1466"/>
      <c r="F471" s="1468"/>
      <c r="G471" s="339"/>
      <c r="H471" s="335" t="s">
        <v>28</v>
      </c>
      <c r="I471" s="341"/>
      <c r="J471" s="341"/>
      <c r="K471" s="341"/>
      <c r="L471" s="341"/>
      <c r="M471" s="342"/>
      <c r="N471" s="341"/>
      <c r="O471" s="338">
        <f t="shared" si="218"/>
        <v>0</v>
      </c>
      <c r="P471" s="341"/>
      <c r="Q471" s="431"/>
      <c r="T471" s="418"/>
    </row>
    <row r="472" spans="3:26" ht="15" hidden="1" outlineLevel="2">
      <c r="C472" s="1486"/>
      <c r="D472" s="1464"/>
      <c r="E472" s="1466"/>
      <c r="F472" s="1468"/>
      <c r="G472" s="339"/>
      <c r="H472" s="335" t="s">
        <v>28</v>
      </c>
      <c r="I472" s="341"/>
      <c r="J472" s="341"/>
      <c r="K472" s="341"/>
      <c r="L472" s="341"/>
      <c r="M472" s="342"/>
      <c r="N472" s="341"/>
      <c r="O472" s="338">
        <f t="shared" si="218"/>
        <v>0</v>
      </c>
      <c r="P472" s="341"/>
      <c r="Q472" s="431"/>
      <c r="T472" s="418"/>
    </row>
    <row r="473" spans="3:26" ht="15" hidden="1" outlineLevel="2">
      <c r="C473" s="1486"/>
      <c r="D473" s="1464"/>
      <c r="E473" s="1466"/>
      <c r="F473" s="1468"/>
      <c r="G473" s="339"/>
      <c r="H473" s="335" t="s">
        <v>28</v>
      </c>
      <c r="I473" s="341"/>
      <c r="J473" s="341"/>
      <c r="K473" s="341"/>
      <c r="L473" s="341"/>
      <c r="M473" s="342"/>
      <c r="N473" s="341"/>
      <c r="O473" s="338">
        <f t="shared" si="218"/>
        <v>0</v>
      </c>
      <c r="P473" s="341"/>
      <c r="Q473" s="431"/>
      <c r="T473" s="418"/>
    </row>
    <row r="474" spans="3:26" ht="15" hidden="1" outlineLevel="2">
      <c r="C474" s="1486"/>
      <c r="D474" s="1464"/>
      <c r="E474" s="1466"/>
      <c r="F474" s="1468"/>
      <c r="G474" s="384"/>
      <c r="H474" s="335" t="s">
        <v>28</v>
      </c>
      <c r="I474" s="345"/>
      <c r="J474" s="345"/>
      <c r="K474" s="345"/>
      <c r="L474" s="345"/>
      <c r="M474" s="346"/>
      <c r="N474" s="345"/>
      <c r="O474" s="338">
        <f t="shared" si="218"/>
        <v>0</v>
      </c>
      <c r="P474" s="345"/>
      <c r="Q474" s="432"/>
      <c r="T474" s="418"/>
    </row>
    <row r="475" spans="3:26" ht="15" hidden="1" outlineLevel="2">
      <c r="C475" s="1486"/>
      <c r="D475" s="1464"/>
      <c r="E475" s="1466"/>
      <c r="F475" s="1468"/>
      <c r="G475" s="339"/>
      <c r="H475" s="335" t="s">
        <v>28</v>
      </c>
      <c r="I475" s="341"/>
      <c r="J475" s="341"/>
      <c r="K475" s="341"/>
      <c r="L475" s="341"/>
      <c r="M475" s="342"/>
      <c r="N475" s="341"/>
      <c r="O475" s="338">
        <f t="shared" si="218"/>
        <v>0</v>
      </c>
      <c r="P475" s="341"/>
      <c r="Q475" s="431"/>
      <c r="T475" s="418"/>
    </row>
    <row r="476" spans="3:26" ht="15" hidden="1" outlineLevel="2">
      <c r="C476" s="1486"/>
      <c r="D476" s="1464"/>
      <c r="E476" s="1466"/>
      <c r="F476" s="1468"/>
      <c r="G476" s="1470" t="s">
        <v>51</v>
      </c>
      <c r="H476" s="1471"/>
      <c r="I476" s="347">
        <f>SUM(I466:I475)</f>
        <v>0</v>
      </c>
      <c r="J476" s="347">
        <f t="shared" ref="J476" si="221">SUM(J466:J475)</f>
        <v>0</v>
      </c>
      <c r="K476" s="347">
        <f>SUMIFS(K466:K475,K466:K475,"&lt;&gt;",K466:K475,"&lt;"&amp;99^99)</f>
        <v>0</v>
      </c>
      <c r="L476" s="347">
        <f>SUMIFS(L466:L475,L466:L475,"&lt;&gt;",L466:L475,"&lt;"&amp;99^99)</f>
        <v>0</v>
      </c>
      <c r="M476" s="348"/>
      <c r="N476" s="347">
        <f>N466</f>
        <v>0</v>
      </c>
      <c r="O476" s="380">
        <f t="shared" si="218"/>
        <v>0</v>
      </c>
      <c r="P476" s="347">
        <f t="shared" ref="P476:Q476" si="222">SUM(P466:P475)</f>
        <v>0</v>
      </c>
      <c r="Q476" s="433">
        <f t="shared" si="222"/>
        <v>0</v>
      </c>
      <c r="T476" s="418"/>
    </row>
    <row r="477" spans="3:26" ht="15" hidden="1" outlineLevel="2">
      <c r="C477" s="1486"/>
      <c r="D477" s="1464"/>
      <c r="E477" s="1466"/>
      <c r="F477" s="1468"/>
      <c r="G477" s="351"/>
      <c r="H477" s="335" t="s">
        <v>22</v>
      </c>
      <c r="I477" s="336"/>
      <c r="J477" s="336"/>
      <c r="K477" s="336"/>
      <c r="L477" s="336"/>
      <c r="M477" s="337"/>
      <c r="N477" s="336"/>
      <c r="O477" s="338">
        <f t="shared" si="218"/>
        <v>0</v>
      </c>
      <c r="P477" s="336"/>
      <c r="Q477" s="430"/>
      <c r="T477" s="418"/>
    </row>
    <row r="478" spans="3:26" ht="15" hidden="1" outlineLevel="2">
      <c r="C478" s="1486"/>
      <c r="D478" s="1464"/>
      <c r="E478" s="1466"/>
      <c r="F478" s="1468"/>
      <c r="G478" s="339"/>
      <c r="H478" s="335" t="s">
        <v>22</v>
      </c>
      <c r="I478" s="341"/>
      <c r="J478" s="341"/>
      <c r="K478" s="341"/>
      <c r="L478" s="341"/>
      <c r="M478" s="342"/>
      <c r="N478" s="341"/>
      <c r="O478" s="338">
        <f t="shared" si="218"/>
        <v>0</v>
      </c>
      <c r="P478" s="341"/>
      <c r="Q478" s="431"/>
      <c r="T478" s="418"/>
    </row>
    <row r="479" spans="3:26" ht="15" hidden="1" outlineLevel="2">
      <c r="C479" s="1486"/>
      <c r="D479" s="1464"/>
      <c r="E479" s="1466"/>
      <c r="F479" s="1468"/>
      <c r="G479" s="339"/>
      <c r="H479" s="335" t="s">
        <v>22</v>
      </c>
      <c r="I479" s="341"/>
      <c r="J479" s="341"/>
      <c r="K479" s="341"/>
      <c r="L479" s="341"/>
      <c r="M479" s="337"/>
      <c r="N479" s="341"/>
      <c r="O479" s="338">
        <f t="shared" si="218"/>
        <v>0</v>
      </c>
      <c r="P479" s="341"/>
      <c r="Q479" s="431"/>
      <c r="T479" s="418"/>
    </row>
    <row r="480" spans="3:26" ht="15" hidden="1" outlineLevel="2">
      <c r="C480" s="1486"/>
      <c r="D480" s="1464"/>
      <c r="E480" s="1466"/>
      <c r="F480" s="1468"/>
      <c r="G480" s="339"/>
      <c r="H480" s="335" t="s">
        <v>22</v>
      </c>
      <c r="I480" s="341"/>
      <c r="J480" s="341"/>
      <c r="K480" s="341"/>
      <c r="L480" s="341"/>
      <c r="M480" s="342"/>
      <c r="N480" s="341"/>
      <c r="O480" s="338">
        <f t="shared" si="218"/>
        <v>0</v>
      </c>
      <c r="P480" s="341"/>
      <c r="Q480" s="431"/>
      <c r="T480" s="418"/>
    </row>
    <row r="481" spans="3:20" ht="15" hidden="1" outlineLevel="2">
      <c r="C481" s="1486"/>
      <c r="D481" s="1464"/>
      <c r="E481" s="1466"/>
      <c r="F481" s="1468"/>
      <c r="G481" s="339"/>
      <c r="H481" s="335" t="s">
        <v>22</v>
      </c>
      <c r="I481" s="341"/>
      <c r="J481" s="341"/>
      <c r="K481" s="341"/>
      <c r="L481" s="341"/>
      <c r="M481" s="342"/>
      <c r="N481" s="341"/>
      <c r="O481" s="338">
        <f t="shared" si="218"/>
        <v>0</v>
      </c>
      <c r="P481" s="341"/>
      <c r="Q481" s="431"/>
      <c r="T481" s="418"/>
    </row>
    <row r="482" spans="3:20" ht="15" hidden="1" outlineLevel="2">
      <c r="C482" s="1486"/>
      <c r="D482" s="1464"/>
      <c r="E482" s="1466"/>
      <c r="F482" s="1468"/>
      <c r="G482" s="339"/>
      <c r="H482" s="335" t="s">
        <v>22</v>
      </c>
      <c r="I482" s="341"/>
      <c r="J482" s="341"/>
      <c r="K482" s="341"/>
      <c r="L482" s="341"/>
      <c r="M482" s="342"/>
      <c r="N482" s="341"/>
      <c r="O482" s="338">
        <f t="shared" si="218"/>
        <v>0</v>
      </c>
      <c r="P482" s="341"/>
      <c r="Q482" s="431"/>
      <c r="T482" s="418"/>
    </row>
    <row r="483" spans="3:20" ht="15" hidden="1" outlineLevel="2">
      <c r="C483" s="1486"/>
      <c r="D483" s="1464"/>
      <c r="E483" s="1466"/>
      <c r="F483" s="1468"/>
      <c r="G483" s="339"/>
      <c r="H483" s="335" t="s">
        <v>22</v>
      </c>
      <c r="I483" s="341"/>
      <c r="J483" s="341"/>
      <c r="K483" s="341"/>
      <c r="L483" s="341"/>
      <c r="M483" s="342"/>
      <c r="N483" s="341"/>
      <c r="O483" s="338">
        <f t="shared" si="218"/>
        <v>0</v>
      </c>
      <c r="P483" s="341"/>
      <c r="Q483" s="431"/>
      <c r="T483" s="418"/>
    </row>
    <row r="484" spans="3:20" ht="15" hidden="1" outlineLevel="2">
      <c r="C484" s="1486"/>
      <c r="D484" s="1464"/>
      <c r="E484" s="1466"/>
      <c r="F484" s="1468"/>
      <c r="G484" s="339"/>
      <c r="H484" s="335" t="s">
        <v>22</v>
      </c>
      <c r="I484" s="341"/>
      <c r="J484" s="341"/>
      <c r="K484" s="341"/>
      <c r="L484" s="341"/>
      <c r="M484" s="342"/>
      <c r="N484" s="341"/>
      <c r="O484" s="338">
        <f t="shared" si="218"/>
        <v>0</v>
      </c>
      <c r="P484" s="341"/>
      <c r="Q484" s="431"/>
      <c r="T484" s="418"/>
    </row>
    <row r="485" spans="3:20" ht="15" hidden="1" outlineLevel="2">
      <c r="C485" s="1486"/>
      <c r="D485" s="1464"/>
      <c r="E485" s="1466"/>
      <c r="F485" s="1468"/>
      <c r="G485" s="384"/>
      <c r="H485" s="335" t="s">
        <v>22</v>
      </c>
      <c r="I485" s="345"/>
      <c r="J485" s="345"/>
      <c r="K485" s="345"/>
      <c r="L485" s="345"/>
      <c r="M485" s="346"/>
      <c r="N485" s="345"/>
      <c r="O485" s="338">
        <f t="shared" si="218"/>
        <v>0</v>
      </c>
      <c r="P485" s="345"/>
      <c r="Q485" s="432"/>
      <c r="T485" s="418"/>
    </row>
    <row r="486" spans="3:20" ht="15" hidden="1" outlineLevel="2">
      <c r="C486" s="1486"/>
      <c r="D486" s="1464"/>
      <c r="E486" s="1466"/>
      <c r="F486" s="1468"/>
      <c r="G486" s="339"/>
      <c r="H486" s="335" t="s">
        <v>22</v>
      </c>
      <c r="I486" s="341"/>
      <c r="J486" s="341"/>
      <c r="K486" s="341"/>
      <c r="L486" s="341"/>
      <c r="M486" s="342"/>
      <c r="N486" s="341"/>
      <c r="O486" s="338">
        <f t="shared" si="218"/>
        <v>0</v>
      </c>
      <c r="P486" s="341"/>
      <c r="Q486" s="431"/>
      <c r="T486" s="418"/>
    </row>
    <row r="487" spans="3:20" ht="15" hidden="1" outlineLevel="2">
      <c r="C487" s="1486"/>
      <c r="D487" s="1464"/>
      <c r="E487" s="1466"/>
      <c r="F487" s="1468"/>
      <c r="G487" s="1470" t="s">
        <v>44</v>
      </c>
      <c r="H487" s="1471"/>
      <c r="I487" s="347">
        <f>SUM(I477:I486)</f>
        <v>0</v>
      </c>
      <c r="J487" s="347">
        <f t="shared" ref="J487" si="223">SUM(J477:J486)</f>
        <v>0</v>
      </c>
      <c r="K487" s="347">
        <f>SUMIFS(K477:K486,K477:K486,"&lt;&gt;",K477:K486,"&lt;"&amp;99^99)</f>
        <v>0</v>
      </c>
      <c r="L487" s="347">
        <f>SUMIFS(L477:L486,L477:L486,"&lt;&gt;",L477:L486,"&lt;"&amp;99^99)</f>
        <v>0</v>
      </c>
      <c r="M487" s="348"/>
      <c r="N487" s="347">
        <f>N477</f>
        <v>0</v>
      </c>
      <c r="O487" s="380">
        <f t="shared" si="218"/>
        <v>0</v>
      </c>
      <c r="P487" s="347">
        <f t="shared" ref="P487:Q487" si="224">SUM(P477:P486)</f>
        <v>0</v>
      </c>
      <c r="Q487" s="433">
        <f t="shared" si="224"/>
        <v>0</v>
      </c>
      <c r="T487" s="418"/>
    </row>
    <row r="488" spans="3:20" ht="15" outlineLevel="1" collapsed="1">
      <c r="C488" s="1486"/>
      <c r="D488" s="1464"/>
      <c r="E488" s="1466"/>
      <c r="F488" s="1469"/>
      <c r="G488" s="1470" t="s">
        <v>177</v>
      </c>
      <c r="H488" s="1471"/>
      <c r="I488" s="347">
        <f>(I465/usdrate)+(I476*jodrate)+I487</f>
        <v>0</v>
      </c>
      <c r="J488" s="347">
        <f>(J465/usdrate)+(J476*jodrate)+J487</f>
        <v>0</v>
      </c>
      <c r="K488" s="347">
        <f>(K465/usdrate)+(K476*jodrate)+K487</f>
        <v>0</v>
      </c>
      <c r="L488" s="347">
        <f>(L465/usdrate)+(L476*jodrate)+L487</f>
        <v>0</v>
      </c>
      <c r="M488" s="348"/>
      <c r="N488" s="347">
        <f>(N465/usdrate)+(N476*jodrate)+N487</f>
        <v>0</v>
      </c>
      <c r="O488" s="380">
        <f t="shared" si="218"/>
        <v>0</v>
      </c>
      <c r="P488" s="347">
        <f>(P465/usdrate)+(P476*jodrate)+P487</f>
        <v>0</v>
      </c>
      <c r="Q488" s="433">
        <f>(Q465/usdrate)+(Q476*jodrate)+Q487</f>
        <v>0</v>
      </c>
      <c r="T488" s="418"/>
    </row>
    <row r="489" spans="3:20" ht="15" hidden="1" outlineLevel="2">
      <c r="C489" s="1486"/>
      <c r="D489" s="1464"/>
      <c r="E489" s="1466"/>
      <c r="F489" s="386" t="s">
        <v>172</v>
      </c>
      <c r="G489" s="351"/>
      <c r="H489" s="335" t="s">
        <v>28</v>
      </c>
      <c r="I489" s="336"/>
      <c r="J489" s="336"/>
      <c r="K489" s="336"/>
      <c r="L489" s="336"/>
      <c r="M489" s="337"/>
      <c r="N489" s="336"/>
      <c r="O489" s="338">
        <f t="shared" ref="O489:O499" si="225">IF(N489=0,0,N489/I489)</f>
        <v>0</v>
      </c>
      <c r="P489" s="336"/>
      <c r="Q489" s="430"/>
      <c r="T489" s="418"/>
    </row>
    <row r="490" spans="3:20" ht="15" hidden="1" outlineLevel="2">
      <c r="C490" s="1486"/>
      <c r="D490" s="1464"/>
      <c r="E490" s="1466"/>
      <c r="F490" s="387"/>
      <c r="G490" s="339"/>
      <c r="H490" s="335" t="s">
        <v>28</v>
      </c>
      <c r="I490" s="341"/>
      <c r="J490" s="341"/>
      <c r="K490" s="341"/>
      <c r="L490" s="341"/>
      <c r="M490" s="342"/>
      <c r="N490" s="341"/>
      <c r="O490" s="338">
        <f t="shared" si="225"/>
        <v>0</v>
      </c>
      <c r="P490" s="341"/>
      <c r="Q490" s="431"/>
      <c r="T490" s="418"/>
    </row>
    <row r="491" spans="3:20" ht="15" hidden="1" outlineLevel="2">
      <c r="C491" s="1486"/>
      <c r="D491" s="1464"/>
      <c r="E491" s="1466"/>
      <c r="F491" s="387"/>
      <c r="G491" s="339"/>
      <c r="H491" s="335" t="s">
        <v>28</v>
      </c>
      <c r="I491" s="341"/>
      <c r="J491" s="341"/>
      <c r="K491" s="341"/>
      <c r="L491" s="341"/>
      <c r="M491" s="337"/>
      <c r="N491" s="341"/>
      <c r="O491" s="338">
        <f t="shared" si="225"/>
        <v>0</v>
      </c>
      <c r="P491" s="341"/>
      <c r="Q491" s="431"/>
      <c r="T491" s="418"/>
    </row>
    <row r="492" spans="3:20" ht="15" hidden="1" outlineLevel="2">
      <c r="C492" s="1486"/>
      <c r="D492" s="1464"/>
      <c r="E492" s="1466"/>
      <c r="F492" s="387"/>
      <c r="G492" s="339"/>
      <c r="H492" s="335" t="s">
        <v>28</v>
      </c>
      <c r="I492" s="341"/>
      <c r="J492" s="341"/>
      <c r="K492" s="341"/>
      <c r="L492" s="341"/>
      <c r="M492" s="342"/>
      <c r="N492" s="341"/>
      <c r="O492" s="338">
        <f t="shared" si="225"/>
        <v>0</v>
      </c>
      <c r="P492" s="341"/>
      <c r="Q492" s="431"/>
      <c r="T492" s="418"/>
    </row>
    <row r="493" spans="3:20" ht="15" hidden="1" outlineLevel="2">
      <c r="C493" s="1486"/>
      <c r="D493" s="1464"/>
      <c r="E493" s="1466"/>
      <c r="F493" s="387"/>
      <c r="G493" s="339"/>
      <c r="H493" s="335" t="s">
        <v>28</v>
      </c>
      <c r="I493" s="341"/>
      <c r="J493" s="341"/>
      <c r="K493" s="341"/>
      <c r="L493" s="341"/>
      <c r="M493" s="342"/>
      <c r="N493" s="341"/>
      <c r="O493" s="338">
        <f t="shared" si="225"/>
        <v>0</v>
      </c>
      <c r="P493" s="341"/>
      <c r="Q493" s="431"/>
      <c r="T493" s="418"/>
    </row>
    <row r="494" spans="3:20" ht="15" hidden="1" outlineLevel="2">
      <c r="C494" s="1486"/>
      <c r="D494" s="1464"/>
      <c r="E494" s="1466"/>
      <c r="F494" s="387"/>
      <c r="G494" s="339"/>
      <c r="H494" s="335" t="s">
        <v>28</v>
      </c>
      <c r="I494" s="341"/>
      <c r="J494" s="341"/>
      <c r="K494" s="341"/>
      <c r="L494" s="341"/>
      <c r="M494" s="342"/>
      <c r="N494" s="341"/>
      <c r="O494" s="338">
        <f t="shared" si="225"/>
        <v>0</v>
      </c>
      <c r="P494" s="341"/>
      <c r="Q494" s="431"/>
      <c r="T494" s="418"/>
    </row>
    <row r="495" spans="3:20" ht="15" hidden="1" outlineLevel="2">
      <c r="C495" s="1486"/>
      <c r="D495" s="1464"/>
      <c r="E495" s="1466"/>
      <c r="F495" s="387"/>
      <c r="G495" s="339"/>
      <c r="H495" s="335" t="s">
        <v>28</v>
      </c>
      <c r="I495" s="341"/>
      <c r="J495" s="341"/>
      <c r="K495" s="341"/>
      <c r="L495" s="341"/>
      <c r="M495" s="342"/>
      <c r="N495" s="341"/>
      <c r="O495" s="338">
        <f t="shared" si="225"/>
        <v>0</v>
      </c>
      <c r="P495" s="341"/>
      <c r="Q495" s="431"/>
      <c r="T495" s="418"/>
    </row>
    <row r="496" spans="3:20" ht="15" hidden="1" outlineLevel="2">
      <c r="C496" s="1486"/>
      <c r="D496" s="1464"/>
      <c r="E496" s="1466"/>
      <c r="F496" s="387"/>
      <c r="G496" s="339"/>
      <c r="H496" s="335" t="s">
        <v>28</v>
      </c>
      <c r="I496" s="341"/>
      <c r="J496" s="341"/>
      <c r="K496" s="341"/>
      <c r="L496" s="341"/>
      <c r="M496" s="342"/>
      <c r="N496" s="341"/>
      <c r="O496" s="338">
        <f t="shared" si="225"/>
        <v>0</v>
      </c>
      <c r="P496" s="341"/>
      <c r="Q496" s="431"/>
      <c r="T496" s="418"/>
    </row>
    <row r="497" spans="3:20" ht="15" hidden="1" outlineLevel="2">
      <c r="C497" s="1486"/>
      <c r="D497" s="1464"/>
      <c r="E497" s="1466"/>
      <c r="F497" s="387"/>
      <c r="G497" s="384"/>
      <c r="H497" s="335" t="s">
        <v>28</v>
      </c>
      <c r="I497" s="345"/>
      <c r="J497" s="345"/>
      <c r="K497" s="345"/>
      <c r="L497" s="345"/>
      <c r="M497" s="346"/>
      <c r="N497" s="345"/>
      <c r="O497" s="338">
        <f t="shared" si="225"/>
        <v>0</v>
      </c>
      <c r="P497" s="345"/>
      <c r="Q497" s="432"/>
      <c r="T497" s="418"/>
    </row>
    <row r="498" spans="3:20" ht="15" hidden="1" outlineLevel="2">
      <c r="C498" s="1486"/>
      <c r="D498" s="1464"/>
      <c r="E498" s="1466"/>
      <c r="F498" s="387"/>
      <c r="G498" s="339"/>
      <c r="H498" s="335" t="s">
        <v>28</v>
      </c>
      <c r="I498" s="341"/>
      <c r="J498" s="341"/>
      <c r="K498" s="341"/>
      <c r="L498" s="341"/>
      <c r="M498" s="342"/>
      <c r="N498" s="341"/>
      <c r="O498" s="338">
        <f t="shared" si="225"/>
        <v>0</v>
      </c>
      <c r="P498" s="341"/>
      <c r="Q498" s="431"/>
      <c r="T498" s="418"/>
    </row>
    <row r="499" spans="3:20" ht="15" hidden="1" outlineLevel="2">
      <c r="C499" s="1486"/>
      <c r="D499" s="1464"/>
      <c r="E499" s="1466"/>
      <c r="F499" s="387"/>
      <c r="G499" s="1470" t="s">
        <v>51</v>
      </c>
      <c r="H499" s="1471"/>
      <c r="I499" s="347">
        <f>SUM(I489:I498)</f>
        <v>0</v>
      </c>
      <c r="J499" s="347">
        <f t="shared" ref="J499" si="226">SUM(J489:J498)</f>
        <v>0</v>
      </c>
      <c r="K499" s="347">
        <f>SUMIFS(K489:K498,K489:K498,"&lt;&gt;",K489:K498,"&lt;"&amp;99^99)</f>
        <v>0</v>
      </c>
      <c r="L499" s="347">
        <f>SUMIFS(L489:L498,L489:L498,"&lt;&gt;",L489:L498,"&lt;"&amp;99^99)</f>
        <v>0</v>
      </c>
      <c r="M499" s="348"/>
      <c r="N499" s="347">
        <f>N489</f>
        <v>0</v>
      </c>
      <c r="O499" s="380">
        <f t="shared" si="225"/>
        <v>0</v>
      </c>
      <c r="P499" s="347">
        <f t="shared" ref="P499:Q499" si="227">SUM(P489:P498)</f>
        <v>0</v>
      </c>
      <c r="Q499" s="433">
        <f t="shared" si="227"/>
        <v>0</v>
      </c>
      <c r="T499" s="418"/>
    </row>
    <row r="500" spans="3:20" ht="15" hidden="1" outlineLevel="2">
      <c r="C500" s="1486"/>
      <c r="D500" s="1464"/>
      <c r="E500" s="1466"/>
      <c r="F500" s="1472" t="s">
        <v>172</v>
      </c>
      <c r="G500" s="351"/>
      <c r="H500" s="335" t="s">
        <v>22</v>
      </c>
      <c r="I500" s="336"/>
      <c r="J500" s="336"/>
      <c r="K500" s="341">
        <f>I500*0.05/12</f>
        <v>0</v>
      </c>
      <c r="L500" s="341">
        <f>J500*0.05/12</f>
        <v>0</v>
      </c>
      <c r="M500" s="352"/>
      <c r="N500" s="336">
        <v>0</v>
      </c>
      <c r="O500" s="338">
        <f>IF(N500=0,0,N500/J500)</f>
        <v>0</v>
      </c>
      <c r="P500" s="336"/>
      <c r="Q500" s="430"/>
      <c r="T500" s="418"/>
    </row>
    <row r="501" spans="3:20" ht="15" hidden="1" outlineLevel="2">
      <c r="C501" s="1486"/>
      <c r="D501" s="1464"/>
      <c r="E501" s="1466"/>
      <c r="F501" s="1468"/>
      <c r="G501" s="350"/>
      <c r="H501" s="335" t="s">
        <v>22</v>
      </c>
      <c r="I501" s="336"/>
      <c r="J501" s="336"/>
      <c r="K501" s="336"/>
      <c r="L501" s="336"/>
      <c r="M501" s="337"/>
      <c r="N501" s="341"/>
      <c r="O501" s="338">
        <f t="shared" ref="O501:O511" si="228">IF(N501=0,0,N501/I501)</f>
        <v>0</v>
      </c>
      <c r="P501" s="336"/>
      <c r="Q501" s="430"/>
      <c r="T501" s="418"/>
    </row>
    <row r="502" spans="3:20" ht="15" hidden="1" outlineLevel="2">
      <c r="C502" s="1486"/>
      <c r="D502" s="1464"/>
      <c r="E502" s="1466"/>
      <c r="F502" s="1468"/>
      <c r="G502" s="350"/>
      <c r="H502" s="335" t="s">
        <v>22</v>
      </c>
      <c r="I502" s="341"/>
      <c r="J502" s="341"/>
      <c r="K502" s="341"/>
      <c r="L502" s="341"/>
      <c r="M502" s="337"/>
      <c r="N502" s="341"/>
      <c r="O502" s="338">
        <f t="shared" si="228"/>
        <v>0</v>
      </c>
      <c r="P502" s="341"/>
      <c r="Q502" s="431"/>
      <c r="T502" s="418"/>
    </row>
    <row r="503" spans="3:20" ht="15" hidden="1" outlineLevel="2">
      <c r="C503" s="1486"/>
      <c r="D503" s="1464"/>
      <c r="E503" s="1466"/>
      <c r="F503" s="1468"/>
      <c r="G503" s="343"/>
      <c r="H503" s="335" t="s">
        <v>22</v>
      </c>
      <c r="I503" s="341"/>
      <c r="J503" s="341"/>
      <c r="K503" s="341"/>
      <c r="L503" s="341"/>
      <c r="M503" s="337"/>
      <c r="N503" s="341"/>
      <c r="O503" s="338">
        <f t="shared" si="228"/>
        <v>0</v>
      </c>
      <c r="P503" s="341"/>
      <c r="Q503" s="431"/>
      <c r="T503" s="418"/>
    </row>
    <row r="504" spans="3:20" ht="15" hidden="1" outlineLevel="2">
      <c r="C504" s="1486"/>
      <c r="D504" s="1464"/>
      <c r="E504" s="1466"/>
      <c r="F504" s="1468"/>
      <c r="G504" s="343"/>
      <c r="H504" s="335" t="s">
        <v>22</v>
      </c>
      <c r="I504" s="341"/>
      <c r="J504" s="341"/>
      <c r="K504" s="341"/>
      <c r="L504" s="341"/>
      <c r="M504" s="342"/>
      <c r="N504" s="341"/>
      <c r="O504" s="338">
        <f t="shared" si="228"/>
        <v>0</v>
      </c>
      <c r="P504" s="341"/>
      <c r="Q504" s="431"/>
      <c r="T504" s="418"/>
    </row>
    <row r="505" spans="3:20" ht="15" hidden="1" outlineLevel="2">
      <c r="C505" s="1486"/>
      <c r="D505" s="1464"/>
      <c r="E505" s="1466"/>
      <c r="F505" s="1468"/>
      <c r="G505" s="343"/>
      <c r="H505" s="335" t="s">
        <v>22</v>
      </c>
      <c r="I505" s="341"/>
      <c r="J505" s="341"/>
      <c r="K505" s="341"/>
      <c r="L505" s="341"/>
      <c r="M505" s="342"/>
      <c r="N505" s="341"/>
      <c r="O505" s="338">
        <f t="shared" si="228"/>
        <v>0</v>
      </c>
      <c r="P505" s="341"/>
      <c r="Q505" s="431"/>
      <c r="T505" s="418"/>
    </row>
    <row r="506" spans="3:20" ht="15" hidden="1" outlineLevel="2">
      <c r="C506" s="1486"/>
      <c r="D506" s="1464"/>
      <c r="E506" s="1466"/>
      <c r="F506" s="1468"/>
      <c r="G506" s="343"/>
      <c r="H506" s="335" t="s">
        <v>22</v>
      </c>
      <c r="I506" s="341"/>
      <c r="J506" s="341"/>
      <c r="K506" s="341"/>
      <c r="L506" s="341"/>
      <c r="M506" s="342"/>
      <c r="N506" s="341"/>
      <c r="O506" s="338">
        <f t="shared" si="228"/>
        <v>0</v>
      </c>
      <c r="P506" s="341"/>
      <c r="Q506" s="431"/>
      <c r="T506" s="418"/>
    </row>
    <row r="507" spans="3:20" ht="15" hidden="1" outlineLevel="2">
      <c r="C507" s="1486"/>
      <c r="D507" s="1464"/>
      <c r="E507" s="1466"/>
      <c r="F507" s="1468"/>
      <c r="G507" s="343"/>
      <c r="H507" s="335" t="s">
        <v>22</v>
      </c>
      <c r="I507" s="341"/>
      <c r="J507" s="341"/>
      <c r="K507" s="341"/>
      <c r="L507" s="341"/>
      <c r="M507" s="342"/>
      <c r="N507" s="341"/>
      <c r="O507" s="338">
        <f t="shared" si="228"/>
        <v>0</v>
      </c>
      <c r="P507" s="341"/>
      <c r="Q507" s="431"/>
      <c r="T507" s="418"/>
    </row>
    <row r="508" spans="3:20" ht="15" hidden="1" outlineLevel="2">
      <c r="C508" s="1486"/>
      <c r="D508" s="1464"/>
      <c r="E508" s="1466"/>
      <c r="F508" s="1468"/>
      <c r="G508" s="344"/>
      <c r="H508" s="335" t="s">
        <v>22</v>
      </c>
      <c r="I508" s="345"/>
      <c r="J508" s="345"/>
      <c r="K508" s="345"/>
      <c r="L508" s="345"/>
      <c r="M508" s="346"/>
      <c r="N508" s="345"/>
      <c r="O508" s="338">
        <f t="shared" si="228"/>
        <v>0</v>
      </c>
      <c r="P508" s="345"/>
      <c r="Q508" s="432"/>
      <c r="T508" s="418"/>
    </row>
    <row r="509" spans="3:20" ht="15" hidden="1" outlineLevel="2">
      <c r="C509" s="1486"/>
      <c r="D509" s="1464"/>
      <c r="E509" s="1466"/>
      <c r="F509" s="1468"/>
      <c r="G509" s="343"/>
      <c r="H509" s="335" t="s">
        <v>22</v>
      </c>
      <c r="I509" s="341"/>
      <c r="J509" s="341"/>
      <c r="K509" s="341"/>
      <c r="L509" s="341"/>
      <c r="M509" s="342"/>
      <c r="N509" s="341"/>
      <c r="O509" s="338">
        <f t="shared" si="228"/>
        <v>0</v>
      </c>
      <c r="P509" s="341"/>
      <c r="Q509" s="431"/>
      <c r="T509" s="418"/>
    </row>
    <row r="510" spans="3:20" ht="15" hidden="1" outlineLevel="2">
      <c r="C510" s="1486"/>
      <c r="D510" s="1464"/>
      <c r="E510" s="1466"/>
      <c r="F510" s="1468"/>
      <c r="G510" s="1470" t="s">
        <v>44</v>
      </c>
      <c r="H510" s="1471"/>
      <c r="I510" s="347">
        <f>SUM(I500:I509)</f>
        <v>0</v>
      </c>
      <c r="J510" s="347">
        <f>SUM(J500:J509)</f>
        <v>0</v>
      </c>
      <c r="K510" s="347">
        <f>SUMIFS(K500:K509,K500:K509,"&lt;&gt;",K500:K509,"&lt;"&amp;99^99)</f>
        <v>0</v>
      </c>
      <c r="L510" s="347">
        <f>SUMIFS(L500:L509,L500:L509,"&lt;&gt;",L500:L509,"&lt;"&amp;99^99)</f>
        <v>0</v>
      </c>
      <c r="M510" s="348"/>
      <c r="N510" s="347">
        <f>SUM(N500:N509)</f>
        <v>0</v>
      </c>
      <c r="O510" s="380">
        <f t="shared" si="228"/>
        <v>0</v>
      </c>
      <c r="P510" s="347">
        <f>SUM(P500:P509)</f>
        <v>0</v>
      </c>
      <c r="Q510" s="433">
        <f>SUM(Q500:Q509)</f>
        <v>0</v>
      </c>
      <c r="T510" s="418"/>
    </row>
    <row r="511" spans="3:20" ht="15" outlineLevel="1" collapsed="1">
      <c r="C511" s="1486"/>
      <c r="D511" s="1464"/>
      <c r="E511" s="1466"/>
      <c r="F511" s="1469"/>
      <c r="G511" s="1470" t="s">
        <v>177</v>
      </c>
      <c r="H511" s="1471"/>
      <c r="I511" s="347">
        <f>(I499*jodrate)+I510</f>
        <v>0</v>
      </c>
      <c r="J511" s="347">
        <f>(J499*jodrate)+J510</f>
        <v>0</v>
      </c>
      <c r="K511" s="347">
        <f>(K499*jodrate)+K510</f>
        <v>0</v>
      </c>
      <c r="L511" s="347">
        <f>(L499*jodrate)+L510</f>
        <v>0</v>
      </c>
      <c r="M511" s="348"/>
      <c r="N511" s="347">
        <f>(N499*jodrate)+N510</f>
        <v>0</v>
      </c>
      <c r="O511" s="380">
        <f t="shared" si="228"/>
        <v>0</v>
      </c>
      <c r="P511" s="347">
        <f>(P499*jodrate)+P510</f>
        <v>0</v>
      </c>
      <c r="Q511" s="433">
        <f>(Q499*jodrate)+Q510</f>
        <v>0</v>
      </c>
      <c r="T511" s="418"/>
    </row>
    <row r="512" spans="3:20" ht="15.75" thickBot="1">
      <c r="C512" s="1486"/>
      <c r="D512" s="1464"/>
      <c r="E512" s="1477"/>
      <c r="F512" s="1479" t="s">
        <v>175</v>
      </c>
      <c r="G512" s="1480"/>
      <c r="H512" s="1480"/>
      <c r="I512" s="388">
        <f>I420+I454+I488+I511</f>
        <v>0</v>
      </c>
      <c r="J512" s="388">
        <f t="shared" ref="J512" si="229">J420+J454+J488+J511</f>
        <v>0</v>
      </c>
      <c r="K512" s="388">
        <f t="shared" ref="K512:L512" si="230">K420+K454+K488+K511</f>
        <v>0</v>
      </c>
      <c r="L512" s="388">
        <f t="shared" si="230"/>
        <v>0</v>
      </c>
      <c r="M512" s="388"/>
      <c r="N512" s="388">
        <f t="shared" ref="N512" si="231">N420+N454+N488+N511</f>
        <v>0</v>
      </c>
      <c r="O512" s="389">
        <f t="shared" ref="O512:O575" si="232">IF(N512=0,0,N512/J512)</f>
        <v>0</v>
      </c>
      <c r="P512" s="388">
        <f t="shared" ref="P512:Q512" si="233">P420+P454+P488+P511</f>
        <v>0</v>
      </c>
      <c r="Q512" s="441">
        <f t="shared" si="233"/>
        <v>0</v>
      </c>
      <c r="T512" s="418"/>
    </row>
    <row r="513" spans="3:20" ht="15.75" hidden="1" outlineLevel="2" thickTop="1">
      <c r="C513" s="1486"/>
      <c r="D513" s="1464"/>
      <c r="E513" s="1459" t="s">
        <v>168</v>
      </c>
      <c r="F513" s="1462" t="s">
        <v>173</v>
      </c>
      <c r="G513" s="390"/>
      <c r="H513" s="391" t="s">
        <v>4</v>
      </c>
      <c r="I513" s="392"/>
      <c r="J513" s="392"/>
      <c r="K513" s="392"/>
      <c r="L513" s="392"/>
      <c r="M513" s="393"/>
      <c r="N513" s="392"/>
      <c r="O513" s="394">
        <f t="shared" si="232"/>
        <v>0</v>
      </c>
      <c r="P513" s="392"/>
      <c r="Q513" s="442"/>
      <c r="T513" s="418"/>
    </row>
    <row r="514" spans="3:20" ht="15" hidden="1" outlineLevel="2">
      <c r="C514" s="1486"/>
      <c r="D514" s="1464"/>
      <c r="E514" s="1459"/>
      <c r="F514" s="1462"/>
      <c r="G514" s="343"/>
      <c r="H514" s="340" t="s">
        <v>4</v>
      </c>
      <c r="I514" s="341"/>
      <c r="J514" s="341"/>
      <c r="K514" s="341"/>
      <c r="L514" s="341"/>
      <c r="M514" s="342"/>
      <c r="N514" s="341"/>
      <c r="O514" s="358">
        <f t="shared" si="232"/>
        <v>0</v>
      </c>
      <c r="P514" s="341"/>
      <c r="Q514" s="431"/>
      <c r="T514" s="418"/>
    </row>
    <row r="515" spans="3:20" ht="15" hidden="1" outlineLevel="2">
      <c r="C515" s="1486"/>
      <c r="D515" s="1464"/>
      <c r="E515" s="1459"/>
      <c r="F515" s="1462"/>
      <c r="G515" s="343"/>
      <c r="H515" s="340" t="s">
        <v>4</v>
      </c>
      <c r="I515" s="341"/>
      <c r="J515" s="341"/>
      <c r="K515" s="341"/>
      <c r="L515" s="341"/>
      <c r="M515" s="342"/>
      <c r="N515" s="341"/>
      <c r="O515" s="338">
        <f t="shared" si="232"/>
        <v>0</v>
      </c>
      <c r="P515" s="341"/>
      <c r="Q515" s="431"/>
      <c r="T515" s="418"/>
    </row>
    <row r="516" spans="3:20" ht="15" hidden="1" outlineLevel="2">
      <c r="C516" s="1486"/>
      <c r="D516" s="1464"/>
      <c r="E516" s="1459"/>
      <c r="F516" s="1462"/>
      <c r="G516" s="343"/>
      <c r="H516" s="340" t="s">
        <v>4</v>
      </c>
      <c r="I516" s="341"/>
      <c r="J516" s="341"/>
      <c r="K516" s="341"/>
      <c r="L516" s="341"/>
      <c r="M516" s="342"/>
      <c r="N516" s="341"/>
      <c r="O516" s="338">
        <f t="shared" si="232"/>
        <v>0</v>
      </c>
      <c r="P516" s="341"/>
      <c r="Q516" s="431"/>
      <c r="T516" s="418"/>
    </row>
    <row r="517" spans="3:20" ht="15" hidden="1" outlineLevel="2">
      <c r="C517" s="1486"/>
      <c r="D517" s="1464"/>
      <c r="E517" s="1459"/>
      <c r="F517" s="1462"/>
      <c r="G517" s="343"/>
      <c r="H517" s="340" t="s">
        <v>4</v>
      </c>
      <c r="I517" s="341"/>
      <c r="J517" s="341"/>
      <c r="K517" s="341"/>
      <c r="L517" s="341"/>
      <c r="M517" s="342"/>
      <c r="N517" s="341"/>
      <c r="O517" s="338">
        <f t="shared" si="232"/>
        <v>0</v>
      </c>
      <c r="P517" s="341"/>
      <c r="Q517" s="431"/>
      <c r="T517" s="418"/>
    </row>
    <row r="518" spans="3:20" ht="15" hidden="1" outlineLevel="2">
      <c r="C518" s="1486"/>
      <c r="D518" s="1464"/>
      <c r="E518" s="1459"/>
      <c r="F518" s="1462"/>
      <c r="G518" s="343"/>
      <c r="H518" s="340" t="s">
        <v>4</v>
      </c>
      <c r="I518" s="341"/>
      <c r="J518" s="341"/>
      <c r="K518" s="341"/>
      <c r="L518" s="341"/>
      <c r="M518" s="342"/>
      <c r="N518" s="341"/>
      <c r="O518" s="338">
        <f t="shared" si="232"/>
        <v>0</v>
      </c>
      <c r="P518" s="341"/>
      <c r="Q518" s="431"/>
      <c r="T518" s="418"/>
    </row>
    <row r="519" spans="3:20" ht="15" hidden="1" outlineLevel="2">
      <c r="C519" s="1486"/>
      <c r="D519" s="1464"/>
      <c r="E519" s="1459"/>
      <c r="F519" s="1462"/>
      <c r="G519" s="343"/>
      <c r="H519" s="340" t="s">
        <v>4</v>
      </c>
      <c r="I519" s="341"/>
      <c r="J519" s="341"/>
      <c r="K519" s="341"/>
      <c r="L519" s="341"/>
      <c r="M519" s="342"/>
      <c r="N519" s="341"/>
      <c r="O519" s="338">
        <f t="shared" si="232"/>
        <v>0</v>
      </c>
      <c r="P519" s="341"/>
      <c r="Q519" s="431"/>
      <c r="T519" s="418"/>
    </row>
    <row r="520" spans="3:20" ht="15" hidden="1" outlineLevel="2">
      <c r="C520" s="1486"/>
      <c r="D520" s="1464"/>
      <c r="E520" s="1459"/>
      <c r="F520" s="1462"/>
      <c r="G520" s="343"/>
      <c r="H520" s="340" t="s">
        <v>4</v>
      </c>
      <c r="I520" s="341"/>
      <c r="J520" s="341"/>
      <c r="K520" s="341"/>
      <c r="L520" s="341"/>
      <c r="M520" s="342"/>
      <c r="N520" s="341"/>
      <c r="O520" s="338">
        <f t="shared" si="232"/>
        <v>0</v>
      </c>
      <c r="P520" s="341"/>
      <c r="Q520" s="431"/>
      <c r="T520" s="418"/>
    </row>
    <row r="521" spans="3:20" ht="15" hidden="1" outlineLevel="2">
      <c r="C521" s="1486"/>
      <c r="D521" s="1464"/>
      <c r="E521" s="1459"/>
      <c r="F521" s="1462"/>
      <c r="G521" s="343"/>
      <c r="H521" s="340" t="s">
        <v>4</v>
      </c>
      <c r="I521" s="341"/>
      <c r="J521" s="341"/>
      <c r="K521" s="341"/>
      <c r="L521" s="341"/>
      <c r="M521" s="342"/>
      <c r="N521" s="341"/>
      <c r="O521" s="338">
        <f t="shared" si="232"/>
        <v>0</v>
      </c>
      <c r="P521" s="341"/>
      <c r="Q521" s="431"/>
      <c r="T521" s="418"/>
    </row>
    <row r="522" spans="3:20" ht="15" hidden="1" outlineLevel="2">
      <c r="C522" s="1486"/>
      <c r="D522" s="1464"/>
      <c r="E522" s="1459"/>
      <c r="F522" s="1462"/>
      <c r="G522" s="343"/>
      <c r="H522" s="340" t="s">
        <v>4</v>
      </c>
      <c r="I522" s="341"/>
      <c r="J522" s="341"/>
      <c r="K522" s="341"/>
      <c r="L522" s="341"/>
      <c r="M522" s="342"/>
      <c r="N522" s="341"/>
      <c r="O522" s="338">
        <f t="shared" si="232"/>
        <v>0</v>
      </c>
      <c r="P522" s="341"/>
      <c r="Q522" s="431"/>
      <c r="T522" s="418"/>
    </row>
    <row r="523" spans="3:20" ht="15" hidden="1" outlineLevel="2">
      <c r="C523" s="1486"/>
      <c r="D523" s="1464"/>
      <c r="E523" s="1459"/>
      <c r="F523" s="1462"/>
      <c r="G523" s="343"/>
      <c r="H523" s="340" t="s">
        <v>4</v>
      </c>
      <c r="I523" s="341"/>
      <c r="J523" s="341"/>
      <c r="K523" s="341"/>
      <c r="L523" s="341"/>
      <c r="M523" s="342"/>
      <c r="N523" s="341"/>
      <c r="O523" s="338">
        <f t="shared" si="232"/>
        <v>0</v>
      </c>
      <c r="P523" s="341"/>
      <c r="Q523" s="431"/>
      <c r="T523" s="418"/>
    </row>
    <row r="524" spans="3:20" ht="15" hidden="1" outlineLevel="2">
      <c r="C524" s="1486"/>
      <c r="D524" s="1464"/>
      <c r="E524" s="1459"/>
      <c r="F524" s="1462"/>
      <c r="G524" s="343"/>
      <c r="H524" s="340" t="s">
        <v>4</v>
      </c>
      <c r="I524" s="341"/>
      <c r="J524" s="341"/>
      <c r="K524" s="341"/>
      <c r="L524" s="341"/>
      <c r="M524" s="342"/>
      <c r="N524" s="341"/>
      <c r="O524" s="338">
        <f t="shared" si="232"/>
        <v>0</v>
      </c>
      <c r="P524" s="341"/>
      <c r="Q524" s="431"/>
      <c r="T524" s="418"/>
    </row>
    <row r="525" spans="3:20" ht="15" hidden="1" outlineLevel="2">
      <c r="C525" s="1486"/>
      <c r="D525" s="1464"/>
      <c r="E525" s="1459"/>
      <c r="F525" s="1462"/>
      <c r="G525" s="343"/>
      <c r="H525" s="340" t="s">
        <v>4</v>
      </c>
      <c r="I525" s="341"/>
      <c r="J525" s="341"/>
      <c r="K525" s="341"/>
      <c r="L525" s="341"/>
      <c r="M525" s="342"/>
      <c r="N525" s="341"/>
      <c r="O525" s="338">
        <f t="shared" si="232"/>
        <v>0</v>
      </c>
      <c r="P525" s="341"/>
      <c r="Q525" s="431"/>
      <c r="T525" s="418"/>
    </row>
    <row r="526" spans="3:20" ht="15" hidden="1" outlineLevel="2">
      <c r="C526" s="1486"/>
      <c r="D526" s="1464"/>
      <c r="E526" s="1459"/>
      <c r="F526" s="1462"/>
      <c r="G526" s="343"/>
      <c r="H526" s="340" t="s">
        <v>4</v>
      </c>
      <c r="I526" s="341"/>
      <c r="J526" s="341"/>
      <c r="K526" s="341"/>
      <c r="L526" s="341"/>
      <c r="M526" s="342"/>
      <c r="N526" s="341"/>
      <c r="O526" s="338">
        <f t="shared" si="232"/>
        <v>0</v>
      </c>
      <c r="P526" s="341"/>
      <c r="Q526" s="431"/>
      <c r="T526" s="418"/>
    </row>
    <row r="527" spans="3:20" ht="15" hidden="1" outlineLevel="2">
      <c r="C527" s="1486"/>
      <c r="D527" s="1464"/>
      <c r="E527" s="1459"/>
      <c r="F527" s="1462"/>
      <c r="G527" s="343"/>
      <c r="H527" s="340" t="s">
        <v>4</v>
      </c>
      <c r="I527" s="341"/>
      <c r="J527" s="341"/>
      <c r="K527" s="341"/>
      <c r="L527" s="341"/>
      <c r="M527" s="342"/>
      <c r="N527" s="341"/>
      <c r="O527" s="338">
        <f t="shared" si="232"/>
        <v>0</v>
      </c>
      <c r="P527" s="341"/>
      <c r="Q527" s="431"/>
      <c r="T527" s="418"/>
    </row>
    <row r="528" spans="3:20" ht="15" hidden="1" outlineLevel="2">
      <c r="C528" s="1486"/>
      <c r="D528" s="1464"/>
      <c r="E528" s="1459"/>
      <c r="F528" s="1462"/>
      <c r="G528" s="343"/>
      <c r="H528" s="340" t="s">
        <v>4</v>
      </c>
      <c r="I528" s="341"/>
      <c r="J528" s="341"/>
      <c r="K528" s="341"/>
      <c r="L528" s="341"/>
      <c r="M528" s="342"/>
      <c r="N528" s="341"/>
      <c r="O528" s="338">
        <f t="shared" si="232"/>
        <v>0</v>
      </c>
      <c r="P528" s="341"/>
      <c r="Q528" s="431"/>
      <c r="T528" s="418"/>
    </row>
    <row r="529" spans="3:20" ht="15" hidden="1" outlineLevel="2">
      <c r="C529" s="1486"/>
      <c r="D529" s="1464"/>
      <c r="E529" s="1459"/>
      <c r="F529" s="1462"/>
      <c r="G529" s="343"/>
      <c r="H529" s="340" t="s">
        <v>4</v>
      </c>
      <c r="I529" s="341"/>
      <c r="J529" s="341"/>
      <c r="K529" s="341"/>
      <c r="L529" s="341"/>
      <c r="M529" s="342"/>
      <c r="N529" s="341"/>
      <c r="O529" s="338">
        <f t="shared" si="232"/>
        <v>0</v>
      </c>
      <c r="P529" s="341"/>
      <c r="Q529" s="431"/>
      <c r="T529" s="418"/>
    </row>
    <row r="530" spans="3:20" ht="15" hidden="1" outlineLevel="2">
      <c r="C530" s="1486"/>
      <c r="D530" s="1464"/>
      <c r="E530" s="1459"/>
      <c r="F530" s="1462"/>
      <c r="G530" s="343"/>
      <c r="H530" s="340" t="s">
        <v>4</v>
      </c>
      <c r="I530" s="341"/>
      <c r="J530" s="341"/>
      <c r="K530" s="341"/>
      <c r="L530" s="341"/>
      <c r="M530" s="342"/>
      <c r="N530" s="341"/>
      <c r="O530" s="338">
        <f t="shared" si="232"/>
        <v>0</v>
      </c>
      <c r="P530" s="341"/>
      <c r="Q530" s="431"/>
      <c r="T530" s="418"/>
    </row>
    <row r="531" spans="3:20" ht="15" hidden="1" outlineLevel="2">
      <c r="C531" s="1486"/>
      <c r="D531" s="1464"/>
      <c r="E531" s="1459"/>
      <c r="F531" s="1462"/>
      <c r="G531" s="343"/>
      <c r="H531" s="340" t="s">
        <v>4</v>
      </c>
      <c r="I531" s="341"/>
      <c r="J531" s="341"/>
      <c r="K531" s="341"/>
      <c r="L531" s="341"/>
      <c r="M531" s="342"/>
      <c r="N531" s="341"/>
      <c r="O531" s="338">
        <f t="shared" si="232"/>
        <v>0</v>
      </c>
      <c r="P531" s="341"/>
      <c r="Q531" s="431"/>
      <c r="T531" s="418"/>
    </row>
    <row r="532" spans="3:20" ht="15" hidden="1" outlineLevel="2">
      <c r="C532" s="1486"/>
      <c r="D532" s="1464"/>
      <c r="E532" s="1459"/>
      <c r="F532" s="1462"/>
      <c r="G532" s="343"/>
      <c r="H532" s="340" t="s">
        <v>4</v>
      </c>
      <c r="I532" s="341"/>
      <c r="J532" s="341"/>
      <c r="K532" s="341"/>
      <c r="L532" s="341"/>
      <c r="M532" s="342"/>
      <c r="N532" s="341"/>
      <c r="O532" s="338">
        <f t="shared" si="232"/>
        <v>0</v>
      </c>
      <c r="P532" s="341"/>
      <c r="Q532" s="431"/>
      <c r="T532" s="418"/>
    </row>
    <row r="533" spans="3:20" ht="15" hidden="1" outlineLevel="2">
      <c r="C533" s="1486"/>
      <c r="D533" s="1464"/>
      <c r="E533" s="1459"/>
      <c r="F533" s="1462"/>
      <c r="G533" s="343"/>
      <c r="H533" s="340" t="s">
        <v>4</v>
      </c>
      <c r="I533" s="341"/>
      <c r="J533" s="341"/>
      <c r="K533" s="341"/>
      <c r="L533" s="341"/>
      <c r="M533" s="342"/>
      <c r="N533" s="341"/>
      <c r="O533" s="338">
        <f t="shared" si="232"/>
        <v>0</v>
      </c>
      <c r="P533" s="341"/>
      <c r="Q533" s="431"/>
      <c r="T533" s="418"/>
    </row>
    <row r="534" spans="3:20" ht="15" hidden="1" outlineLevel="2">
      <c r="C534" s="1486"/>
      <c r="D534" s="1464"/>
      <c r="E534" s="1459"/>
      <c r="F534" s="1462"/>
      <c r="G534" s="343"/>
      <c r="H534" s="340" t="s">
        <v>4</v>
      </c>
      <c r="I534" s="341"/>
      <c r="J534" s="341"/>
      <c r="K534" s="341"/>
      <c r="L534" s="341"/>
      <c r="M534" s="342"/>
      <c r="N534" s="341"/>
      <c r="O534" s="338">
        <f t="shared" si="232"/>
        <v>0</v>
      </c>
      <c r="P534" s="341"/>
      <c r="Q534" s="431"/>
      <c r="T534" s="418"/>
    </row>
    <row r="535" spans="3:20" ht="15" hidden="1" outlineLevel="2">
      <c r="C535" s="1486"/>
      <c r="D535" s="1464"/>
      <c r="E535" s="1459"/>
      <c r="F535" s="1462"/>
      <c r="G535" s="343"/>
      <c r="H535" s="340" t="s">
        <v>4</v>
      </c>
      <c r="I535" s="341"/>
      <c r="J535" s="341"/>
      <c r="K535" s="341"/>
      <c r="L535" s="341"/>
      <c r="M535" s="342"/>
      <c r="N535" s="341"/>
      <c r="O535" s="338">
        <f t="shared" si="232"/>
        <v>0</v>
      </c>
      <c r="P535" s="341"/>
      <c r="Q535" s="431"/>
      <c r="T535" s="418"/>
    </row>
    <row r="536" spans="3:20" ht="15" hidden="1" outlineLevel="2">
      <c r="C536" s="1486"/>
      <c r="D536" s="1464"/>
      <c r="E536" s="1459"/>
      <c r="F536" s="1462"/>
      <c r="G536" s="343"/>
      <c r="H536" s="340" t="s">
        <v>4</v>
      </c>
      <c r="I536" s="341"/>
      <c r="J536" s="341"/>
      <c r="K536" s="341"/>
      <c r="L536" s="341"/>
      <c r="M536" s="342"/>
      <c r="N536" s="341"/>
      <c r="O536" s="338">
        <f t="shared" si="232"/>
        <v>0</v>
      </c>
      <c r="P536" s="341"/>
      <c r="Q536" s="431"/>
      <c r="T536" s="418"/>
    </row>
    <row r="537" spans="3:20" ht="15" hidden="1" outlineLevel="2">
      <c r="C537" s="1486"/>
      <c r="D537" s="1464"/>
      <c r="E537" s="1459"/>
      <c r="F537" s="1462"/>
      <c r="G537" s="343"/>
      <c r="H537" s="340" t="s">
        <v>4</v>
      </c>
      <c r="I537" s="341"/>
      <c r="J537" s="341"/>
      <c r="K537" s="341"/>
      <c r="L537" s="341"/>
      <c r="M537" s="342"/>
      <c r="N537" s="341"/>
      <c r="O537" s="338">
        <f t="shared" si="232"/>
        <v>0</v>
      </c>
      <c r="P537" s="341"/>
      <c r="Q537" s="431"/>
      <c r="T537" s="418"/>
    </row>
    <row r="538" spans="3:20" ht="15" hidden="1" outlineLevel="2">
      <c r="C538" s="1486"/>
      <c r="D538" s="1464"/>
      <c r="E538" s="1459"/>
      <c r="F538" s="1462"/>
      <c r="G538" s="343"/>
      <c r="H538" s="340" t="s">
        <v>4</v>
      </c>
      <c r="I538" s="341"/>
      <c r="J538" s="341"/>
      <c r="K538" s="341"/>
      <c r="L538" s="341"/>
      <c r="M538" s="342"/>
      <c r="N538" s="341"/>
      <c r="O538" s="338">
        <f t="shared" si="232"/>
        <v>0</v>
      </c>
      <c r="P538" s="341"/>
      <c r="Q538" s="431"/>
      <c r="T538" s="418"/>
    </row>
    <row r="539" spans="3:20" ht="15" hidden="1" outlineLevel="2">
      <c r="C539" s="1486"/>
      <c r="D539" s="1464"/>
      <c r="E539" s="1459"/>
      <c r="F539" s="1462"/>
      <c r="G539" s="343"/>
      <c r="H539" s="340" t="s">
        <v>4</v>
      </c>
      <c r="I539" s="341"/>
      <c r="J539" s="341"/>
      <c r="K539" s="341"/>
      <c r="L539" s="341"/>
      <c r="M539" s="342"/>
      <c r="N539" s="341"/>
      <c r="O539" s="338">
        <f t="shared" si="232"/>
        <v>0</v>
      </c>
      <c r="P539" s="341"/>
      <c r="Q539" s="431"/>
      <c r="T539" s="418"/>
    </row>
    <row r="540" spans="3:20" ht="15" hidden="1" outlineLevel="2">
      <c r="C540" s="1486"/>
      <c r="D540" s="1464"/>
      <c r="E540" s="1459"/>
      <c r="F540" s="1462"/>
      <c r="G540" s="343"/>
      <c r="H540" s="340" t="s">
        <v>4</v>
      </c>
      <c r="I540" s="341"/>
      <c r="J540" s="341"/>
      <c r="K540" s="341"/>
      <c r="L540" s="341"/>
      <c r="M540" s="342"/>
      <c r="N540" s="341"/>
      <c r="O540" s="338">
        <f t="shared" si="232"/>
        <v>0</v>
      </c>
      <c r="P540" s="341"/>
      <c r="Q540" s="431"/>
      <c r="T540" s="418"/>
    </row>
    <row r="541" spans="3:20" ht="15" hidden="1" outlineLevel="2">
      <c r="C541" s="1486"/>
      <c r="D541" s="1464"/>
      <c r="E541" s="1459"/>
      <c r="F541" s="1462"/>
      <c r="G541" s="1454" t="s">
        <v>45</v>
      </c>
      <c r="H541" s="1455"/>
      <c r="I541" s="359">
        <f>SUM(I513:I540)</f>
        <v>0</v>
      </c>
      <c r="J541" s="359">
        <f>SUM(J513:J540)</f>
        <v>0</v>
      </c>
      <c r="K541" s="359">
        <f>SUM(K513:K540)</f>
        <v>0</v>
      </c>
      <c r="L541" s="359">
        <f>SUM(L513:L540)</f>
        <v>0</v>
      </c>
      <c r="M541" s="360" t="s">
        <v>43</v>
      </c>
      <c r="N541" s="359">
        <f>SUM(N513:N540)</f>
        <v>0</v>
      </c>
      <c r="O541" s="395">
        <f t="shared" si="232"/>
        <v>0</v>
      </c>
      <c r="P541" s="359">
        <f>SUM(P513:P540)</f>
        <v>0</v>
      </c>
      <c r="Q541" s="435">
        <f>SUM(Q513:Q540)</f>
        <v>0</v>
      </c>
      <c r="T541" s="418"/>
    </row>
    <row r="542" spans="3:20" ht="15" hidden="1" outlineLevel="2">
      <c r="C542" s="1486"/>
      <c r="D542" s="1464"/>
      <c r="E542" s="1459"/>
      <c r="F542" s="1462"/>
      <c r="G542" s="353"/>
      <c r="H542" s="340" t="s">
        <v>29</v>
      </c>
      <c r="I542" s="336"/>
      <c r="J542" s="336"/>
      <c r="K542" s="336"/>
      <c r="L542" s="336"/>
      <c r="M542" s="363"/>
      <c r="N542" s="336"/>
      <c r="O542" s="338">
        <f t="shared" si="232"/>
        <v>0</v>
      </c>
      <c r="P542" s="336"/>
      <c r="Q542" s="430"/>
      <c r="T542" s="418"/>
    </row>
    <row r="543" spans="3:20" ht="15" hidden="1" outlineLevel="2">
      <c r="C543" s="1486"/>
      <c r="D543" s="1464"/>
      <c r="E543" s="1459"/>
      <c r="F543" s="1462"/>
      <c r="G543" s="353"/>
      <c r="H543" s="340" t="s">
        <v>29</v>
      </c>
      <c r="I543" s="336"/>
      <c r="J543" s="336"/>
      <c r="K543" s="336"/>
      <c r="L543" s="336"/>
      <c r="M543" s="363"/>
      <c r="N543" s="336"/>
      <c r="O543" s="338">
        <f t="shared" si="232"/>
        <v>0</v>
      </c>
      <c r="P543" s="336"/>
      <c r="Q543" s="430"/>
      <c r="T543" s="418"/>
    </row>
    <row r="544" spans="3:20" ht="15" hidden="1" outlineLevel="2">
      <c r="C544" s="1486"/>
      <c r="D544" s="1464"/>
      <c r="E544" s="1459"/>
      <c r="F544" s="1462"/>
      <c r="G544" s="353"/>
      <c r="H544" s="340" t="s">
        <v>29</v>
      </c>
      <c r="I544" s="336"/>
      <c r="J544" s="336"/>
      <c r="K544" s="336"/>
      <c r="L544" s="336"/>
      <c r="M544" s="363"/>
      <c r="N544" s="336"/>
      <c r="O544" s="338">
        <f t="shared" si="232"/>
        <v>0</v>
      </c>
      <c r="P544" s="336"/>
      <c r="Q544" s="430"/>
      <c r="T544" s="418"/>
    </row>
    <row r="545" spans="3:20" ht="15" hidden="1" outlineLevel="2">
      <c r="C545" s="1486"/>
      <c r="D545" s="1464"/>
      <c r="E545" s="1459"/>
      <c r="F545" s="1462"/>
      <c r="G545" s="353"/>
      <c r="H545" s="340" t="s">
        <v>29</v>
      </c>
      <c r="I545" s="336"/>
      <c r="J545" s="336"/>
      <c r="K545" s="336"/>
      <c r="L545" s="336"/>
      <c r="M545" s="363"/>
      <c r="N545" s="336"/>
      <c r="O545" s="338">
        <f t="shared" si="232"/>
        <v>0</v>
      </c>
      <c r="P545" s="336"/>
      <c r="Q545" s="430"/>
      <c r="T545" s="418"/>
    </row>
    <row r="546" spans="3:20" ht="15" hidden="1" outlineLevel="2">
      <c r="C546" s="1486"/>
      <c r="D546" s="1464"/>
      <c r="E546" s="1459"/>
      <c r="F546" s="1462"/>
      <c r="G546" s="353"/>
      <c r="H546" s="340" t="s">
        <v>29</v>
      </c>
      <c r="I546" s="336"/>
      <c r="J546" s="336"/>
      <c r="K546" s="336"/>
      <c r="L546" s="336"/>
      <c r="M546" s="363"/>
      <c r="N546" s="336"/>
      <c r="O546" s="338">
        <f t="shared" si="232"/>
        <v>0</v>
      </c>
      <c r="P546" s="336"/>
      <c r="Q546" s="430"/>
      <c r="T546" s="418"/>
    </row>
    <row r="547" spans="3:20" ht="15" hidden="1" outlineLevel="2">
      <c r="C547" s="1486"/>
      <c r="D547" s="1464"/>
      <c r="E547" s="1459"/>
      <c r="F547" s="1462"/>
      <c r="G547" s="353"/>
      <c r="H547" s="340" t="s">
        <v>29</v>
      </c>
      <c r="I547" s="336"/>
      <c r="J547" s="336"/>
      <c r="K547" s="336"/>
      <c r="L547" s="336"/>
      <c r="M547" s="363"/>
      <c r="N547" s="336"/>
      <c r="O547" s="338">
        <f t="shared" si="232"/>
        <v>0</v>
      </c>
      <c r="P547" s="336"/>
      <c r="Q547" s="430"/>
      <c r="T547" s="418"/>
    </row>
    <row r="548" spans="3:20" ht="15" hidden="1" outlineLevel="2">
      <c r="C548" s="1486"/>
      <c r="D548" s="1464"/>
      <c r="E548" s="1459"/>
      <c r="F548" s="1462"/>
      <c r="G548" s="353"/>
      <c r="H548" s="340" t="s">
        <v>29</v>
      </c>
      <c r="I548" s="336"/>
      <c r="J548" s="336"/>
      <c r="K548" s="336"/>
      <c r="L548" s="336"/>
      <c r="M548" s="363"/>
      <c r="N548" s="336"/>
      <c r="O548" s="338">
        <f t="shared" si="232"/>
        <v>0</v>
      </c>
      <c r="P548" s="336"/>
      <c r="Q548" s="430"/>
      <c r="T548" s="418"/>
    </row>
    <row r="549" spans="3:20" ht="15" hidden="1" outlineLevel="2">
      <c r="C549" s="1486"/>
      <c r="D549" s="1464"/>
      <c r="E549" s="1459"/>
      <c r="F549" s="1462"/>
      <c r="G549" s="353"/>
      <c r="H549" s="340" t="s">
        <v>29</v>
      </c>
      <c r="I549" s="336"/>
      <c r="J549" s="336"/>
      <c r="K549" s="336"/>
      <c r="L549" s="336"/>
      <c r="M549" s="363"/>
      <c r="N549" s="336"/>
      <c r="O549" s="338">
        <f t="shared" si="232"/>
        <v>0</v>
      </c>
      <c r="P549" s="336"/>
      <c r="Q549" s="430"/>
      <c r="T549" s="418"/>
    </row>
    <row r="550" spans="3:20" ht="15" hidden="1" outlineLevel="2">
      <c r="C550" s="1486"/>
      <c r="D550" s="1464"/>
      <c r="E550" s="1459"/>
      <c r="F550" s="1462"/>
      <c r="G550" s="353"/>
      <c r="H550" s="340" t="s">
        <v>29</v>
      </c>
      <c r="I550" s="336"/>
      <c r="J550" s="336"/>
      <c r="K550" s="336"/>
      <c r="L550" s="336"/>
      <c r="M550" s="363"/>
      <c r="N550" s="336"/>
      <c r="O550" s="338">
        <f t="shared" si="232"/>
        <v>0</v>
      </c>
      <c r="P550" s="336"/>
      <c r="Q550" s="430"/>
      <c r="T550" s="418"/>
    </row>
    <row r="551" spans="3:20" ht="15" hidden="1" outlineLevel="2">
      <c r="C551" s="1486"/>
      <c r="D551" s="1464"/>
      <c r="E551" s="1459"/>
      <c r="F551" s="1462"/>
      <c r="G551" s="353"/>
      <c r="H551" s="340" t="s">
        <v>29</v>
      </c>
      <c r="I551" s="336"/>
      <c r="J551" s="336"/>
      <c r="K551" s="336"/>
      <c r="L551" s="336"/>
      <c r="M551" s="363"/>
      <c r="N551" s="336"/>
      <c r="O551" s="338">
        <f t="shared" si="232"/>
        <v>0</v>
      </c>
      <c r="P551" s="336"/>
      <c r="Q551" s="430"/>
      <c r="T551" s="418"/>
    </row>
    <row r="552" spans="3:20" ht="15" hidden="1" outlineLevel="2">
      <c r="C552" s="1486"/>
      <c r="D552" s="1464"/>
      <c r="E552" s="1459"/>
      <c r="F552" s="1462"/>
      <c r="G552" s="353"/>
      <c r="H552" s="340" t="s">
        <v>29</v>
      </c>
      <c r="I552" s="336"/>
      <c r="J552" s="336"/>
      <c r="K552" s="336"/>
      <c r="L552" s="336"/>
      <c r="M552" s="363"/>
      <c r="N552" s="336"/>
      <c r="O552" s="338">
        <f t="shared" si="232"/>
        <v>0</v>
      </c>
      <c r="P552" s="336"/>
      <c r="Q552" s="430"/>
      <c r="T552" s="418"/>
    </row>
    <row r="553" spans="3:20" ht="15" hidden="1" outlineLevel="2">
      <c r="C553" s="1486"/>
      <c r="D553" s="1464"/>
      <c r="E553" s="1459"/>
      <c r="F553" s="1462"/>
      <c r="G553" s="353"/>
      <c r="H553" s="340" t="s">
        <v>29</v>
      </c>
      <c r="I553" s="336"/>
      <c r="J553" s="336"/>
      <c r="K553" s="336"/>
      <c r="L553" s="336"/>
      <c r="M553" s="363"/>
      <c r="N553" s="336"/>
      <c r="O553" s="338">
        <f t="shared" si="232"/>
        <v>0</v>
      </c>
      <c r="P553" s="336"/>
      <c r="Q553" s="430"/>
      <c r="T553" s="418"/>
    </row>
    <row r="554" spans="3:20" ht="15" hidden="1" outlineLevel="2">
      <c r="C554" s="1486"/>
      <c r="D554" s="1464"/>
      <c r="E554" s="1459"/>
      <c r="F554" s="1462"/>
      <c r="G554" s="1483" t="s">
        <v>50</v>
      </c>
      <c r="H554" s="1484"/>
      <c r="I554" s="409">
        <f>SUM(I542:I553)</f>
        <v>0</v>
      </c>
      <c r="J554" s="409">
        <f t="shared" ref="J554:K554" si="234">SUM(J542:J553)</f>
        <v>0</v>
      </c>
      <c r="K554" s="409">
        <f t="shared" si="234"/>
        <v>0</v>
      </c>
      <c r="L554" s="409">
        <f t="shared" ref="L554" si="235">SUM(L542:L553)</f>
        <v>0</v>
      </c>
      <c r="M554" s="366" t="s">
        <v>43</v>
      </c>
      <c r="N554" s="409">
        <f>SUM(N542:N553)</f>
        <v>0</v>
      </c>
      <c r="O554" s="395">
        <f t="shared" si="232"/>
        <v>0</v>
      </c>
      <c r="P554" s="409">
        <f t="shared" ref="P554:Q554" si="236">SUM(P542:P553)</f>
        <v>0</v>
      </c>
      <c r="Q554" s="443">
        <f t="shared" si="236"/>
        <v>0</v>
      </c>
      <c r="T554" s="418"/>
    </row>
    <row r="555" spans="3:20" ht="15" hidden="1" outlineLevel="2">
      <c r="C555" s="1486"/>
      <c r="D555" s="1464"/>
      <c r="E555" s="1459"/>
      <c r="F555" s="1462"/>
      <c r="G555" s="353"/>
      <c r="H555" s="340" t="s">
        <v>22</v>
      </c>
      <c r="I555" s="341"/>
      <c r="J555" s="341">
        <v>0</v>
      </c>
      <c r="K555" s="341"/>
      <c r="L555" s="341"/>
      <c r="M555" s="410"/>
      <c r="N555" s="341"/>
      <c r="O555" s="357">
        <f t="shared" si="232"/>
        <v>0</v>
      </c>
      <c r="P555" s="341">
        <v>0</v>
      </c>
      <c r="Q555" s="431">
        <v>0</v>
      </c>
      <c r="T555" s="418"/>
    </row>
    <row r="556" spans="3:20" ht="15" hidden="1" outlineLevel="2">
      <c r="C556" s="1486"/>
      <c r="D556" s="1464"/>
      <c r="E556" s="1459"/>
      <c r="F556" s="1462"/>
      <c r="G556" s="353"/>
      <c r="H556" s="340" t="s">
        <v>22</v>
      </c>
      <c r="I556" s="341"/>
      <c r="J556" s="341">
        <v>0</v>
      </c>
      <c r="K556" s="341"/>
      <c r="L556" s="341"/>
      <c r="M556" s="410"/>
      <c r="N556" s="341"/>
      <c r="O556" s="357">
        <f t="shared" si="232"/>
        <v>0</v>
      </c>
      <c r="P556" s="341">
        <v>0</v>
      </c>
      <c r="Q556" s="431">
        <v>0</v>
      </c>
      <c r="T556" s="418"/>
    </row>
    <row r="557" spans="3:20" ht="15" hidden="1" outlineLevel="2">
      <c r="C557" s="1486"/>
      <c r="D557" s="1464"/>
      <c r="E557" s="1459"/>
      <c r="F557" s="1462"/>
      <c r="G557" s="353"/>
      <c r="H557" s="340" t="s">
        <v>22</v>
      </c>
      <c r="I557" s="341"/>
      <c r="J557" s="341">
        <v>0</v>
      </c>
      <c r="K557" s="341"/>
      <c r="L557" s="341"/>
      <c r="M557" s="410"/>
      <c r="N557" s="341"/>
      <c r="O557" s="357">
        <f t="shared" si="232"/>
        <v>0</v>
      </c>
      <c r="P557" s="341">
        <v>0</v>
      </c>
      <c r="Q557" s="431">
        <v>0</v>
      </c>
      <c r="T557" s="418"/>
    </row>
    <row r="558" spans="3:20" ht="15" hidden="1" outlineLevel="2">
      <c r="C558" s="1486"/>
      <c r="D558" s="1464"/>
      <c r="E558" s="1459"/>
      <c r="F558" s="1462"/>
      <c r="G558" s="353"/>
      <c r="H558" s="340" t="s">
        <v>22</v>
      </c>
      <c r="I558" s="341"/>
      <c r="J558" s="341">
        <v>0</v>
      </c>
      <c r="K558" s="341"/>
      <c r="L558" s="341"/>
      <c r="M558" s="410"/>
      <c r="N558" s="341"/>
      <c r="O558" s="357">
        <f t="shared" si="232"/>
        <v>0</v>
      </c>
      <c r="P558" s="341">
        <v>0</v>
      </c>
      <c r="Q558" s="431">
        <v>0</v>
      </c>
      <c r="T558" s="418"/>
    </row>
    <row r="559" spans="3:20" ht="15" hidden="1" outlineLevel="2">
      <c r="C559" s="1486"/>
      <c r="D559" s="1464"/>
      <c r="E559" s="1459"/>
      <c r="F559" s="1462"/>
      <c r="G559" s="353"/>
      <c r="H559" s="340" t="s">
        <v>22</v>
      </c>
      <c r="I559" s="341"/>
      <c r="J559" s="341">
        <v>0</v>
      </c>
      <c r="K559" s="341"/>
      <c r="L559" s="341"/>
      <c r="M559" s="410"/>
      <c r="N559" s="341"/>
      <c r="O559" s="357">
        <f t="shared" si="232"/>
        <v>0</v>
      </c>
      <c r="P559" s="341">
        <v>0</v>
      </c>
      <c r="Q559" s="431">
        <v>0</v>
      </c>
      <c r="T559" s="418"/>
    </row>
    <row r="560" spans="3:20" ht="15" hidden="1" outlineLevel="2">
      <c r="C560" s="1486"/>
      <c r="D560" s="1464"/>
      <c r="E560" s="1459"/>
      <c r="F560" s="1462"/>
      <c r="G560" s="353"/>
      <c r="H560" s="340" t="s">
        <v>22</v>
      </c>
      <c r="I560" s="341"/>
      <c r="J560" s="341">
        <v>0</v>
      </c>
      <c r="K560" s="341"/>
      <c r="L560" s="341"/>
      <c r="M560" s="410"/>
      <c r="N560" s="341"/>
      <c r="O560" s="357">
        <f t="shared" si="232"/>
        <v>0</v>
      </c>
      <c r="P560" s="341">
        <v>0</v>
      </c>
      <c r="Q560" s="431">
        <v>0</v>
      </c>
      <c r="T560" s="418"/>
    </row>
    <row r="561" spans="3:20" ht="15" hidden="1" outlineLevel="2">
      <c r="C561" s="1486"/>
      <c r="D561" s="1464"/>
      <c r="E561" s="1459"/>
      <c r="F561" s="1462"/>
      <c r="G561" s="353"/>
      <c r="H561" s="340" t="s">
        <v>22</v>
      </c>
      <c r="I561" s="341"/>
      <c r="J561" s="341">
        <v>0</v>
      </c>
      <c r="K561" s="341"/>
      <c r="L561" s="341"/>
      <c r="M561" s="410"/>
      <c r="N561" s="341"/>
      <c r="O561" s="357">
        <f t="shared" si="232"/>
        <v>0</v>
      </c>
      <c r="P561" s="341">
        <v>0</v>
      </c>
      <c r="Q561" s="431">
        <v>0</v>
      </c>
      <c r="T561" s="418"/>
    </row>
    <row r="562" spans="3:20" ht="15" hidden="1" outlineLevel="2">
      <c r="C562" s="1486"/>
      <c r="D562" s="1464"/>
      <c r="E562" s="1459"/>
      <c r="F562" s="1462"/>
      <c r="G562" s="353"/>
      <c r="H562" s="340" t="s">
        <v>22</v>
      </c>
      <c r="I562" s="341"/>
      <c r="J562" s="341">
        <v>0</v>
      </c>
      <c r="K562" s="341"/>
      <c r="L562" s="341"/>
      <c r="M562" s="410"/>
      <c r="N562" s="341"/>
      <c r="O562" s="357">
        <f t="shared" si="232"/>
        <v>0</v>
      </c>
      <c r="P562" s="341">
        <v>0</v>
      </c>
      <c r="Q562" s="431">
        <v>0</v>
      </c>
      <c r="T562" s="418"/>
    </row>
    <row r="563" spans="3:20" ht="15" hidden="1" outlineLevel="2">
      <c r="C563" s="1486"/>
      <c r="D563" s="1464"/>
      <c r="E563" s="1459"/>
      <c r="F563" s="1462"/>
      <c r="G563" s="353"/>
      <c r="H563" s="340" t="s">
        <v>22</v>
      </c>
      <c r="I563" s="341"/>
      <c r="J563" s="341">
        <v>0</v>
      </c>
      <c r="K563" s="341"/>
      <c r="L563" s="341"/>
      <c r="M563" s="410"/>
      <c r="N563" s="341"/>
      <c r="O563" s="357">
        <f t="shared" si="232"/>
        <v>0</v>
      </c>
      <c r="P563" s="341">
        <v>0</v>
      </c>
      <c r="Q563" s="431">
        <v>0</v>
      </c>
      <c r="T563" s="418"/>
    </row>
    <row r="564" spans="3:20" ht="15" hidden="1" outlineLevel="2">
      <c r="C564" s="1486"/>
      <c r="D564" s="1464"/>
      <c r="E564" s="1459"/>
      <c r="F564" s="1462"/>
      <c r="G564" s="353"/>
      <c r="H564" s="340" t="s">
        <v>22</v>
      </c>
      <c r="I564" s="341"/>
      <c r="J564" s="341">
        <v>0</v>
      </c>
      <c r="K564" s="341"/>
      <c r="L564" s="341"/>
      <c r="M564" s="410"/>
      <c r="N564" s="341"/>
      <c r="O564" s="357">
        <f t="shared" si="232"/>
        <v>0</v>
      </c>
      <c r="P564" s="341">
        <v>0</v>
      </c>
      <c r="Q564" s="431">
        <v>0</v>
      </c>
      <c r="T564" s="418"/>
    </row>
    <row r="565" spans="3:20" ht="15" hidden="1" outlineLevel="2">
      <c r="C565" s="1486"/>
      <c r="D565" s="1464"/>
      <c r="E565" s="1459"/>
      <c r="F565" s="1462"/>
      <c r="G565" s="353"/>
      <c r="H565" s="340" t="s">
        <v>22</v>
      </c>
      <c r="I565" s="341"/>
      <c r="J565" s="341">
        <v>0</v>
      </c>
      <c r="K565" s="341"/>
      <c r="L565" s="341"/>
      <c r="M565" s="410"/>
      <c r="N565" s="341"/>
      <c r="O565" s="357">
        <f t="shared" si="232"/>
        <v>0</v>
      </c>
      <c r="P565" s="341">
        <v>0</v>
      </c>
      <c r="Q565" s="431">
        <v>0</v>
      </c>
      <c r="T565" s="418"/>
    </row>
    <row r="566" spans="3:20" ht="15" hidden="1" outlineLevel="2">
      <c r="C566" s="1486"/>
      <c r="D566" s="1464"/>
      <c r="E566" s="1459"/>
      <c r="F566" s="1462"/>
      <c r="G566" s="353"/>
      <c r="H566" s="340" t="s">
        <v>22</v>
      </c>
      <c r="I566" s="341"/>
      <c r="J566" s="341">
        <v>0</v>
      </c>
      <c r="K566" s="341"/>
      <c r="L566" s="341"/>
      <c r="M566" s="410"/>
      <c r="N566" s="341"/>
      <c r="O566" s="357">
        <f t="shared" si="232"/>
        <v>0</v>
      </c>
      <c r="P566" s="341">
        <v>0</v>
      </c>
      <c r="Q566" s="431">
        <v>0</v>
      </c>
      <c r="T566" s="418"/>
    </row>
    <row r="567" spans="3:20" ht="15" hidden="1" outlineLevel="2">
      <c r="C567" s="1486"/>
      <c r="D567" s="1464"/>
      <c r="E567" s="1459"/>
      <c r="F567" s="1462"/>
      <c r="G567" s="353"/>
      <c r="H567" s="340" t="s">
        <v>22</v>
      </c>
      <c r="I567" s="341"/>
      <c r="J567" s="341">
        <v>0</v>
      </c>
      <c r="K567" s="341"/>
      <c r="L567" s="341"/>
      <c r="M567" s="410"/>
      <c r="N567" s="341"/>
      <c r="O567" s="357">
        <f t="shared" si="232"/>
        <v>0</v>
      </c>
      <c r="P567" s="341">
        <v>0</v>
      </c>
      <c r="Q567" s="431">
        <v>0</v>
      </c>
      <c r="T567" s="418"/>
    </row>
    <row r="568" spans="3:20" ht="15" hidden="1" outlineLevel="2">
      <c r="C568" s="1486"/>
      <c r="D568" s="1464"/>
      <c r="E568" s="1459"/>
      <c r="F568" s="1462"/>
      <c r="G568" s="353"/>
      <c r="H568" s="340" t="s">
        <v>22</v>
      </c>
      <c r="I568" s="341"/>
      <c r="J568" s="341">
        <v>0</v>
      </c>
      <c r="K568" s="341"/>
      <c r="L568" s="341"/>
      <c r="M568" s="410"/>
      <c r="N568" s="341"/>
      <c r="O568" s="357">
        <f t="shared" si="232"/>
        <v>0</v>
      </c>
      <c r="P568" s="341">
        <v>0</v>
      </c>
      <c r="Q568" s="431">
        <v>0</v>
      </c>
      <c r="T568" s="418"/>
    </row>
    <row r="569" spans="3:20" ht="15" hidden="1" outlineLevel="2">
      <c r="C569" s="1486"/>
      <c r="D569" s="1464"/>
      <c r="E569" s="1459"/>
      <c r="F569" s="1462"/>
      <c r="G569" s="353"/>
      <c r="H569" s="340" t="s">
        <v>22</v>
      </c>
      <c r="I569" s="341"/>
      <c r="J569" s="341">
        <v>0</v>
      </c>
      <c r="K569" s="341"/>
      <c r="L569" s="341"/>
      <c r="M569" s="410"/>
      <c r="N569" s="341"/>
      <c r="O569" s="357">
        <f t="shared" si="232"/>
        <v>0</v>
      </c>
      <c r="P569" s="341">
        <v>0</v>
      </c>
      <c r="Q569" s="431">
        <v>0</v>
      </c>
      <c r="T569" s="418"/>
    </row>
    <row r="570" spans="3:20" ht="15" hidden="1" outlineLevel="2">
      <c r="C570" s="1486"/>
      <c r="D570" s="1464"/>
      <c r="E570" s="1459"/>
      <c r="F570" s="1462"/>
      <c r="G570" s="353"/>
      <c r="H570" s="340" t="s">
        <v>22</v>
      </c>
      <c r="I570" s="341"/>
      <c r="J570" s="341">
        <v>0</v>
      </c>
      <c r="K570" s="341"/>
      <c r="L570" s="341"/>
      <c r="M570" s="410"/>
      <c r="N570" s="341"/>
      <c r="O570" s="357">
        <f t="shared" si="232"/>
        <v>0</v>
      </c>
      <c r="P570" s="341">
        <v>0</v>
      </c>
      <c r="Q570" s="431">
        <v>0</v>
      </c>
      <c r="T570" s="418"/>
    </row>
    <row r="571" spans="3:20" ht="15" hidden="1" outlineLevel="2">
      <c r="C571" s="1486"/>
      <c r="D571" s="1464"/>
      <c r="E571" s="1459"/>
      <c r="F571" s="1462"/>
      <c r="G571" s="353"/>
      <c r="H571" s="340" t="s">
        <v>22</v>
      </c>
      <c r="I571" s="341"/>
      <c r="J571" s="341">
        <v>0</v>
      </c>
      <c r="K571" s="341"/>
      <c r="L571" s="341"/>
      <c r="M571" s="410"/>
      <c r="N571" s="341"/>
      <c r="O571" s="357">
        <f t="shared" si="232"/>
        <v>0</v>
      </c>
      <c r="P571" s="341">
        <v>0</v>
      </c>
      <c r="Q571" s="431">
        <v>0</v>
      </c>
      <c r="T571" s="418"/>
    </row>
    <row r="572" spans="3:20" ht="15" hidden="1" outlineLevel="2">
      <c r="C572" s="1486"/>
      <c r="D572" s="1464"/>
      <c r="E572" s="1459"/>
      <c r="F572" s="1462"/>
      <c r="G572" s="353"/>
      <c r="H572" s="340" t="s">
        <v>22</v>
      </c>
      <c r="I572" s="341"/>
      <c r="J572" s="341">
        <v>0</v>
      </c>
      <c r="K572" s="341"/>
      <c r="L572" s="341"/>
      <c r="M572" s="410"/>
      <c r="N572" s="341"/>
      <c r="O572" s="357">
        <f t="shared" si="232"/>
        <v>0</v>
      </c>
      <c r="P572" s="341">
        <v>0</v>
      </c>
      <c r="Q572" s="431">
        <v>0</v>
      </c>
      <c r="T572" s="418"/>
    </row>
    <row r="573" spans="3:20" ht="15" hidden="1" outlineLevel="2">
      <c r="C573" s="1486"/>
      <c r="D573" s="1464"/>
      <c r="E573" s="1459"/>
      <c r="F573" s="1462"/>
      <c r="G573" s="353"/>
      <c r="H573" s="340" t="s">
        <v>22</v>
      </c>
      <c r="I573" s="341"/>
      <c r="J573" s="341">
        <v>0</v>
      </c>
      <c r="K573" s="341"/>
      <c r="L573" s="341"/>
      <c r="M573" s="410"/>
      <c r="N573" s="341"/>
      <c r="O573" s="357">
        <f t="shared" si="232"/>
        <v>0</v>
      </c>
      <c r="P573" s="341">
        <v>0</v>
      </c>
      <c r="Q573" s="431">
        <v>0</v>
      </c>
      <c r="T573" s="418"/>
    </row>
    <row r="574" spans="3:20" ht="15" hidden="1" outlineLevel="2">
      <c r="C574" s="1486"/>
      <c r="D574" s="1464"/>
      <c r="E574" s="1459"/>
      <c r="F574" s="1462"/>
      <c r="G574" s="1454" t="s">
        <v>44</v>
      </c>
      <c r="H574" s="1455"/>
      <c r="I574" s="365">
        <f>SUM(I555:I573)</f>
        <v>0</v>
      </c>
      <c r="J574" s="365">
        <f t="shared" ref="J574:K574" si="237">SUM(J555:J573)</f>
        <v>0</v>
      </c>
      <c r="K574" s="365">
        <f t="shared" si="237"/>
        <v>0</v>
      </c>
      <c r="L574" s="365">
        <f t="shared" ref="L574" si="238">SUM(L555:L573)</f>
        <v>0</v>
      </c>
      <c r="M574" s="366" t="s">
        <v>43</v>
      </c>
      <c r="N574" s="365">
        <f t="shared" ref="N574" si="239">SUM(N555:N573)</f>
        <v>0</v>
      </c>
      <c r="O574" s="395">
        <f t="shared" si="232"/>
        <v>0</v>
      </c>
      <c r="P574" s="365">
        <f t="shared" ref="P574:Q574" si="240">SUM(P555:P573)</f>
        <v>0</v>
      </c>
      <c r="Q574" s="436">
        <f t="shared" si="240"/>
        <v>0</v>
      </c>
      <c r="T574" s="418"/>
    </row>
    <row r="575" spans="3:20" ht="15" hidden="1" outlineLevel="2">
      <c r="C575" s="1486"/>
      <c r="D575" s="1464"/>
      <c r="E575" s="1459"/>
      <c r="F575" s="1462"/>
      <c r="G575" s="343"/>
      <c r="H575" s="335" t="s">
        <v>4</v>
      </c>
      <c r="I575" s="336">
        <f>I541</f>
        <v>0</v>
      </c>
      <c r="J575" s="336">
        <f>J541</f>
        <v>0</v>
      </c>
      <c r="K575" s="336">
        <f>K541</f>
        <v>0</v>
      </c>
      <c r="L575" s="336">
        <f>L541</f>
        <v>0</v>
      </c>
      <c r="M575" s="337" t="s">
        <v>49</v>
      </c>
      <c r="N575" s="336">
        <f>N541</f>
        <v>0</v>
      </c>
      <c r="O575" s="338">
        <f t="shared" si="232"/>
        <v>0</v>
      </c>
      <c r="P575" s="336">
        <f>P541</f>
        <v>0</v>
      </c>
      <c r="Q575" s="430">
        <f>Q541</f>
        <v>0</v>
      </c>
      <c r="T575" s="418"/>
    </row>
    <row r="576" spans="3:20" ht="15" hidden="1" outlineLevel="2">
      <c r="C576" s="1486"/>
      <c r="D576" s="1464"/>
      <c r="E576" s="1459"/>
      <c r="F576" s="1462"/>
      <c r="G576" s="350"/>
      <c r="H576" s="335" t="s">
        <v>29</v>
      </c>
      <c r="I576" s="336">
        <f>I554</f>
        <v>0</v>
      </c>
      <c r="J576" s="336">
        <f t="shared" ref="J576:M576" si="241">J554</f>
        <v>0</v>
      </c>
      <c r="K576" s="336">
        <f t="shared" si="241"/>
        <v>0</v>
      </c>
      <c r="L576" s="336">
        <f t="shared" ref="L576" si="242">L554</f>
        <v>0</v>
      </c>
      <c r="M576" s="336" t="str">
        <f t="shared" si="241"/>
        <v>Cash Security</v>
      </c>
      <c r="N576" s="336">
        <f t="shared" ref="N576" si="243">N554</f>
        <v>0</v>
      </c>
      <c r="O576" s="338">
        <f t="shared" ref="O576:O639" si="244">IF(N576=0,0,N576/J576)</f>
        <v>0</v>
      </c>
      <c r="P576" s="336">
        <f t="shared" ref="P576:Q576" si="245">P554</f>
        <v>0</v>
      </c>
      <c r="Q576" s="430">
        <f t="shared" si="245"/>
        <v>0</v>
      </c>
      <c r="T576" s="418"/>
    </row>
    <row r="577" spans="3:20" ht="15" hidden="1" outlineLevel="2">
      <c r="C577" s="1486"/>
      <c r="D577" s="1464"/>
      <c r="E577" s="1459"/>
      <c r="F577" s="1462"/>
      <c r="G577" s="343"/>
      <c r="H577" s="335" t="s">
        <v>22</v>
      </c>
      <c r="I577" s="336">
        <f>I574</f>
        <v>0</v>
      </c>
      <c r="J577" s="336">
        <f t="shared" ref="J577:M577" si="246">J574</f>
        <v>0</v>
      </c>
      <c r="K577" s="336">
        <f t="shared" si="246"/>
        <v>0</v>
      </c>
      <c r="L577" s="336">
        <f t="shared" ref="L577" si="247">L574</f>
        <v>0</v>
      </c>
      <c r="M577" s="336" t="str">
        <f t="shared" si="246"/>
        <v>Cash Security</v>
      </c>
      <c r="N577" s="336">
        <f t="shared" ref="N577" si="248">N574</f>
        <v>0</v>
      </c>
      <c r="O577" s="338">
        <f t="shared" si="244"/>
        <v>0</v>
      </c>
      <c r="P577" s="336">
        <f t="shared" ref="P577:Q577" si="249">P574</f>
        <v>0</v>
      </c>
      <c r="Q577" s="430">
        <f t="shared" si="249"/>
        <v>0</v>
      </c>
      <c r="T577" s="418"/>
    </row>
    <row r="578" spans="3:20" ht="15.75" hidden="1" outlineLevel="1" collapsed="1" thickTop="1">
      <c r="C578" s="1486"/>
      <c r="D578" s="1464"/>
      <c r="E578" s="1459"/>
      <c r="F578" s="1463"/>
      <c r="G578" s="1454" t="s">
        <v>177</v>
      </c>
      <c r="H578" s="1455"/>
      <c r="I578" s="359">
        <f>(I575/usdrate)+(I576*eurrate)+I577</f>
        <v>0</v>
      </c>
      <c r="J578" s="359">
        <f>(J575/usdrate)+(J576*eurrate)+J577</f>
        <v>0</v>
      </c>
      <c r="K578" s="359">
        <f>(K575/usdrate)+(K576*eurrate)+K577</f>
        <v>0</v>
      </c>
      <c r="L578" s="359">
        <f>(L575/usdrate)+(L576*eurrate)+L577</f>
        <v>0</v>
      </c>
      <c r="M578" s="360" t="s">
        <v>178</v>
      </c>
      <c r="N578" s="359">
        <f>(N575/usdrate)+(N576*eurrate)+N577</f>
        <v>0</v>
      </c>
      <c r="O578" s="367">
        <f t="shared" si="244"/>
        <v>0</v>
      </c>
      <c r="P578" s="359">
        <f>(P575/usdrate)+(P576*eurrate)+P577</f>
        <v>0</v>
      </c>
      <c r="Q578" s="435">
        <f>(Q575/usdrate)+(Q576*eurrate)+Q577</f>
        <v>0</v>
      </c>
      <c r="T578" s="418"/>
    </row>
    <row r="579" spans="3:20" ht="15" hidden="1" outlineLevel="2">
      <c r="C579" s="1486"/>
      <c r="D579" s="1464"/>
      <c r="E579" s="1459"/>
      <c r="F579" s="1461" t="s">
        <v>174</v>
      </c>
      <c r="G579" s="368"/>
      <c r="H579" s="335" t="s">
        <v>4</v>
      </c>
      <c r="I579" s="336"/>
      <c r="J579" s="336"/>
      <c r="K579" s="336"/>
      <c r="L579" s="336"/>
      <c r="M579" s="363"/>
      <c r="N579" s="336"/>
      <c r="O579" s="338">
        <f t="shared" si="244"/>
        <v>0</v>
      </c>
      <c r="P579" s="336"/>
      <c r="Q579" s="430"/>
      <c r="T579" s="418"/>
    </row>
    <row r="580" spans="3:20" ht="15" hidden="1" outlineLevel="2">
      <c r="C580" s="1486"/>
      <c r="D580" s="1464"/>
      <c r="E580" s="1459"/>
      <c r="F580" s="1462"/>
      <c r="G580" s="368"/>
      <c r="H580" s="335" t="s">
        <v>4</v>
      </c>
      <c r="I580" s="336"/>
      <c r="J580" s="336"/>
      <c r="K580" s="336"/>
      <c r="L580" s="336"/>
      <c r="M580" s="363"/>
      <c r="N580" s="336"/>
      <c r="O580" s="338">
        <f t="shared" si="244"/>
        <v>0</v>
      </c>
      <c r="P580" s="336"/>
      <c r="Q580" s="430"/>
      <c r="T580" s="418"/>
    </row>
    <row r="581" spans="3:20" ht="15" hidden="1" outlineLevel="2">
      <c r="C581" s="1486"/>
      <c r="D581" s="1464"/>
      <c r="E581" s="1459"/>
      <c r="F581" s="1462"/>
      <c r="G581" s="368"/>
      <c r="H581" s="335" t="s">
        <v>4</v>
      </c>
      <c r="I581" s="336"/>
      <c r="J581" s="336"/>
      <c r="K581" s="336"/>
      <c r="L581" s="336"/>
      <c r="M581" s="363"/>
      <c r="N581" s="336"/>
      <c r="O581" s="338">
        <f t="shared" si="244"/>
        <v>0</v>
      </c>
      <c r="P581" s="336"/>
      <c r="Q581" s="430"/>
      <c r="T581" s="418"/>
    </row>
    <row r="582" spans="3:20" ht="15" hidden="1" outlineLevel="2">
      <c r="C582" s="1486"/>
      <c r="D582" s="1464"/>
      <c r="E582" s="1459"/>
      <c r="F582" s="1462"/>
      <c r="G582" s="368"/>
      <c r="H582" s="335" t="s">
        <v>4</v>
      </c>
      <c r="I582" s="336"/>
      <c r="J582" s="336"/>
      <c r="K582" s="336"/>
      <c r="L582" s="336"/>
      <c r="M582" s="363"/>
      <c r="N582" s="336"/>
      <c r="O582" s="338">
        <f t="shared" si="244"/>
        <v>0</v>
      </c>
      <c r="P582" s="336"/>
      <c r="Q582" s="430"/>
      <c r="T582" s="418"/>
    </row>
    <row r="583" spans="3:20" ht="15" hidden="1" outlineLevel="2">
      <c r="C583" s="1486"/>
      <c r="D583" s="1464"/>
      <c r="E583" s="1459"/>
      <c r="F583" s="1462"/>
      <c r="G583" s="368"/>
      <c r="H583" s="335" t="s">
        <v>4</v>
      </c>
      <c r="I583" s="336"/>
      <c r="J583" s="336"/>
      <c r="K583" s="336"/>
      <c r="L583" s="336"/>
      <c r="M583" s="363"/>
      <c r="N583" s="336"/>
      <c r="O583" s="338">
        <f t="shared" si="244"/>
        <v>0</v>
      </c>
      <c r="P583" s="336"/>
      <c r="Q583" s="430"/>
      <c r="T583" s="418"/>
    </row>
    <row r="584" spans="3:20" ht="15" hidden="1" outlineLevel="2">
      <c r="C584" s="1486"/>
      <c r="D584" s="1464"/>
      <c r="E584" s="1459"/>
      <c r="F584" s="1462"/>
      <c r="G584" s="368"/>
      <c r="H584" s="335" t="s">
        <v>4</v>
      </c>
      <c r="I584" s="336"/>
      <c r="J584" s="336"/>
      <c r="K584" s="336"/>
      <c r="L584" s="336"/>
      <c r="M584" s="363"/>
      <c r="N584" s="336"/>
      <c r="O584" s="338">
        <f t="shared" si="244"/>
        <v>0</v>
      </c>
      <c r="P584" s="336"/>
      <c r="Q584" s="430"/>
      <c r="T584" s="418"/>
    </row>
    <row r="585" spans="3:20" ht="15" hidden="1" outlineLevel="2">
      <c r="C585" s="1486"/>
      <c r="D585" s="1464"/>
      <c r="E585" s="1459"/>
      <c r="F585" s="1462"/>
      <c r="G585" s="368"/>
      <c r="H585" s="335" t="s">
        <v>4</v>
      </c>
      <c r="I585" s="336"/>
      <c r="J585" s="336"/>
      <c r="K585" s="336"/>
      <c r="L585" s="336"/>
      <c r="M585" s="363"/>
      <c r="N585" s="336"/>
      <c r="O585" s="338">
        <f t="shared" si="244"/>
        <v>0</v>
      </c>
      <c r="P585" s="336"/>
      <c r="Q585" s="430"/>
      <c r="T585" s="418"/>
    </row>
    <row r="586" spans="3:20" ht="15" hidden="1" outlineLevel="2">
      <c r="C586" s="1486"/>
      <c r="D586" s="1464"/>
      <c r="E586" s="1459"/>
      <c r="F586" s="1462"/>
      <c r="G586" s="368"/>
      <c r="H586" s="335" t="s">
        <v>4</v>
      </c>
      <c r="I586" s="336"/>
      <c r="J586" s="336"/>
      <c r="K586" s="336"/>
      <c r="L586" s="336"/>
      <c r="M586" s="363"/>
      <c r="N586" s="336"/>
      <c r="O586" s="338">
        <f t="shared" si="244"/>
        <v>0</v>
      </c>
      <c r="P586" s="336"/>
      <c r="Q586" s="430"/>
      <c r="T586" s="418"/>
    </row>
    <row r="587" spans="3:20" ht="15" hidden="1" outlineLevel="2">
      <c r="C587" s="1486"/>
      <c r="D587" s="1464"/>
      <c r="E587" s="1459"/>
      <c r="F587" s="1462"/>
      <c r="G587" s="368"/>
      <c r="H587" s="335" t="s">
        <v>4</v>
      </c>
      <c r="I587" s="336"/>
      <c r="J587" s="336"/>
      <c r="K587" s="336"/>
      <c r="L587" s="336"/>
      <c r="M587" s="363"/>
      <c r="N587" s="336"/>
      <c r="O587" s="338">
        <f t="shared" si="244"/>
        <v>0</v>
      </c>
      <c r="P587" s="336"/>
      <c r="Q587" s="430"/>
      <c r="T587" s="418"/>
    </row>
    <row r="588" spans="3:20" ht="15" hidden="1" outlineLevel="2">
      <c r="C588" s="1486"/>
      <c r="D588" s="1464"/>
      <c r="E588" s="1459"/>
      <c r="F588" s="1462"/>
      <c r="G588" s="368"/>
      <c r="H588" s="335" t="s">
        <v>4</v>
      </c>
      <c r="I588" s="336"/>
      <c r="J588" s="336"/>
      <c r="K588" s="336"/>
      <c r="L588" s="336"/>
      <c r="M588" s="363"/>
      <c r="N588" s="336"/>
      <c r="O588" s="338">
        <f t="shared" si="244"/>
        <v>0</v>
      </c>
      <c r="P588" s="336"/>
      <c r="Q588" s="430"/>
      <c r="T588" s="418"/>
    </row>
    <row r="589" spans="3:20" ht="15" hidden="1" outlineLevel="2">
      <c r="C589" s="1486"/>
      <c r="D589" s="1464"/>
      <c r="E589" s="1459"/>
      <c r="F589" s="1462"/>
      <c r="G589" s="368"/>
      <c r="H589" s="335" t="s">
        <v>4</v>
      </c>
      <c r="I589" s="336"/>
      <c r="J589" s="336"/>
      <c r="K589" s="336"/>
      <c r="L589" s="336"/>
      <c r="M589" s="363"/>
      <c r="N589" s="336"/>
      <c r="O589" s="338">
        <f t="shared" si="244"/>
        <v>0</v>
      </c>
      <c r="P589" s="336"/>
      <c r="Q589" s="430"/>
      <c r="T589" s="418"/>
    </row>
    <row r="590" spans="3:20" ht="15" hidden="1" outlineLevel="2">
      <c r="C590" s="1486"/>
      <c r="D590" s="1464"/>
      <c r="E590" s="1459"/>
      <c r="F590" s="1462"/>
      <c r="G590" s="368"/>
      <c r="H590" s="335" t="s">
        <v>4</v>
      </c>
      <c r="I590" s="336"/>
      <c r="J590" s="336"/>
      <c r="K590" s="336"/>
      <c r="L590" s="336"/>
      <c r="M590" s="363"/>
      <c r="N590" s="336"/>
      <c r="O590" s="338">
        <f t="shared" si="244"/>
        <v>0</v>
      </c>
      <c r="P590" s="336"/>
      <c r="Q590" s="430"/>
      <c r="T590" s="418"/>
    </row>
    <row r="591" spans="3:20" ht="15" hidden="1" outlineLevel="2">
      <c r="C591" s="1486"/>
      <c r="D591" s="1464"/>
      <c r="E591" s="1459"/>
      <c r="F591" s="1462"/>
      <c r="G591" s="368"/>
      <c r="H591" s="335" t="s">
        <v>4</v>
      </c>
      <c r="I591" s="336"/>
      <c r="J591" s="336"/>
      <c r="K591" s="336"/>
      <c r="L591" s="336"/>
      <c r="M591" s="363"/>
      <c r="N591" s="336"/>
      <c r="O591" s="338">
        <f t="shared" si="244"/>
        <v>0</v>
      </c>
      <c r="P591" s="336"/>
      <c r="Q591" s="430"/>
      <c r="T591" s="418"/>
    </row>
    <row r="592" spans="3:20" ht="15" hidden="1" outlineLevel="2">
      <c r="C592" s="1486"/>
      <c r="D592" s="1464"/>
      <c r="E592" s="1459"/>
      <c r="F592" s="1462"/>
      <c r="G592" s="368"/>
      <c r="H592" s="335" t="s">
        <v>4</v>
      </c>
      <c r="I592" s="336"/>
      <c r="J592" s="336"/>
      <c r="K592" s="336"/>
      <c r="L592" s="336"/>
      <c r="M592" s="363"/>
      <c r="N592" s="336"/>
      <c r="O592" s="338">
        <f t="shared" si="244"/>
        <v>0</v>
      </c>
      <c r="P592" s="336"/>
      <c r="Q592" s="430"/>
      <c r="T592" s="418"/>
    </row>
    <row r="593" spans="3:20" ht="15" hidden="1" outlineLevel="2">
      <c r="C593" s="1486"/>
      <c r="D593" s="1464"/>
      <c r="E593" s="1459"/>
      <c r="F593" s="1462"/>
      <c r="G593" s="368"/>
      <c r="H593" s="335" t="s">
        <v>4</v>
      </c>
      <c r="I593" s="336"/>
      <c r="J593" s="336"/>
      <c r="K593" s="336"/>
      <c r="L593" s="336"/>
      <c r="M593" s="363"/>
      <c r="N593" s="336"/>
      <c r="O593" s="338">
        <f t="shared" si="244"/>
        <v>0</v>
      </c>
      <c r="P593" s="336"/>
      <c r="Q593" s="430"/>
      <c r="T593" s="418"/>
    </row>
    <row r="594" spans="3:20" ht="15" hidden="1" outlineLevel="2">
      <c r="C594" s="1486"/>
      <c r="D594" s="1464"/>
      <c r="E594" s="1459"/>
      <c r="F594" s="1462"/>
      <c r="G594" s="368"/>
      <c r="H594" s="335" t="s">
        <v>4</v>
      </c>
      <c r="I594" s="336"/>
      <c r="J594" s="336"/>
      <c r="K594" s="336"/>
      <c r="L594" s="336"/>
      <c r="M594" s="363"/>
      <c r="N594" s="336"/>
      <c r="O594" s="338">
        <f t="shared" si="244"/>
        <v>0</v>
      </c>
      <c r="P594" s="336"/>
      <c r="Q594" s="430"/>
      <c r="T594" s="418"/>
    </row>
    <row r="595" spans="3:20" ht="15" hidden="1" outlineLevel="2">
      <c r="C595" s="1486"/>
      <c r="D595" s="1464"/>
      <c r="E595" s="1459"/>
      <c r="F595" s="1462"/>
      <c r="G595" s="368"/>
      <c r="H595" s="335" t="s">
        <v>4</v>
      </c>
      <c r="I595" s="336"/>
      <c r="J595" s="336"/>
      <c r="K595" s="336"/>
      <c r="L595" s="336"/>
      <c r="M595" s="363"/>
      <c r="N595" s="336"/>
      <c r="O595" s="338">
        <f t="shared" si="244"/>
        <v>0</v>
      </c>
      <c r="P595" s="336"/>
      <c r="Q595" s="430"/>
      <c r="T595" s="418"/>
    </row>
    <row r="596" spans="3:20" ht="15" hidden="1" outlineLevel="2">
      <c r="C596" s="1486"/>
      <c r="D596" s="1464"/>
      <c r="E596" s="1459"/>
      <c r="F596" s="1462"/>
      <c r="G596" s="368"/>
      <c r="H596" s="335" t="s">
        <v>4</v>
      </c>
      <c r="I596" s="336"/>
      <c r="J596" s="336"/>
      <c r="K596" s="336"/>
      <c r="L596" s="336"/>
      <c r="M596" s="363"/>
      <c r="N596" s="336"/>
      <c r="O596" s="338">
        <f t="shared" si="244"/>
        <v>0</v>
      </c>
      <c r="P596" s="336"/>
      <c r="Q596" s="430"/>
      <c r="T596" s="418"/>
    </row>
    <row r="597" spans="3:20" ht="15" hidden="1" outlineLevel="2">
      <c r="C597" s="1486"/>
      <c r="D597" s="1464"/>
      <c r="E597" s="1459"/>
      <c r="F597" s="1462"/>
      <c r="G597" s="368"/>
      <c r="H597" s="335" t="s">
        <v>4</v>
      </c>
      <c r="I597" s="336"/>
      <c r="J597" s="336"/>
      <c r="K597" s="336"/>
      <c r="L597" s="336"/>
      <c r="M597" s="363"/>
      <c r="N597" s="336"/>
      <c r="O597" s="338">
        <f t="shared" si="244"/>
        <v>0</v>
      </c>
      <c r="P597" s="336"/>
      <c r="Q597" s="430"/>
      <c r="T597" s="418"/>
    </row>
    <row r="598" spans="3:20" ht="15" hidden="1" outlineLevel="2">
      <c r="C598" s="1486"/>
      <c r="D598" s="1464"/>
      <c r="E598" s="1459"/>
      <c r="F598" s="1462"/>
      <c r="G598" s="368"/>
      <c r="H598" s="335" t="s">
        <v>4</v>
      </c>
      <c r="I598" s="336"/>
      <c r="J598" s="336"/>
      <c r="K598" s="336"/>
      <c r="L598" s="336"/>
      <c r="M598" s="363"/>
      <c r="N598" s="336"/>
      <c r="O598" s="338">
        <f t="shared" si="244"/>
        <v>0</v>
      </c>
      <c r="P598" s="336"/>
      <c r="Q598" s="430"/>
      <c r="T598" s="418"/>
    </row>
    <row r="599" spans="3:20" ht="15" hidden="1" outlineLevel="2">
      <c r="C599" s="1486"/>
      <c r="D599" s="1464"/>
      <c r="E599" s="1459"/>
      <c r="F599" s="1462"/>
      <c r="G599" s="368"/>
      <c r="H599" s="335" t="s">
        <v>4</v>
      </c>
      <c r="I599" s="336"/>
      <c r="J599" s="336"/>
      <c r="K599" s="336"/>
      <c r="L599" s="336"/>
      <c r="M599" s="363"/>
      <c r="N599" s="336"/>
      <c r="O599" s="338">
        <f t="shared" si="244"/>
        <v>0</v>
      </c>
      <c r="P599" s="336"/>
      <c r="Q599" s="430"/>
      <c r="T599" s="418"/>
    </row>
    <row r="600" spans="3:20" ht="15" hidden="1" outlineLevel="2">
      <c r="C600" s="1486"/>
      <c r="D600" s="1464"/>
      <c r="E600" s="1459"/>
      <c r="F600" s="1462"/>
      <c r="G600" s="368"/>
      <c r="H600" s="335" t="s">
        <v>4</v>
      </c>
      <c r="I600" s="336"/>
      <c r="J600" s="336"/>
      <c r="K600" s="336"/>
      <c r="L600" s="336"/>
      <c r="M600" s="363"/>
      <c r="N600" s="336"/>
      <c r="O600" s="338">
        <f t="shared" si="244"/>
        <v>0</v>
      </c>
      <c r="P600" s="336"/>
      <c r="Q600" s="430"/>
      <c r="T600" s="418"/>
    </row>
    <row r="601" spans="3:20" ht="15" hidden="1" outlineLevel="2">
      <c r="C601" s="1486"/>
      <c r="D601" s="1464"/>
      <c r="E601" s="1459"/>
      <c r="F601" s="1462"/>
      <c r="G601" s="368"/>
      <c r="H601" s="335" t="s">
        <v>4</v>
      </c>
      <c r="I601" s="336"/>
      <c r="J601" s="336"/>
      <c r="K601" s="336"/>
      <c r="L601" s="336"/>
      <c r="M601" s="363"/>
      <c r="N601" s="336"/>
      <c r="O601" s="338">
        <f t="shared" si="244"/>
        <v>0</v>
      </c>
      <c r="P601" s="336"/>
      <c r="Q601" s="430"/>
      <c r="T601" s="418"/>
    </row>
    <row r="602" spans="3:20" ht="15" hidden="1" outlineLevel="2">
      <c r="C602" s="1486"/>
      <c r="D602" s="1464"/>
      <c r="E602" s="1459"/>
      <c r="F602" s="1462"/>
      <c r="G602" s="368"/>
      <c r="H602" s="335" t="s">
        <v>4</v>
      </c>
      <c r="I602" s="336"/>
      <c r="J602" s="336"/>
      <c r="K602" s="336"/>
      <c r="L602" s="336"/>
      <c r="M602" s="363"/>
      <c r="N602" s="336"/>
      <c r="O602" s="338">
        <f t="shared" si="244"/>
        <v>0</v>
      </c>
      <c r="P602" s="336"/>
      <c r="Q602" s="430"/>
      <c r="T602" s="418"/>
    </row>
    <row r="603" spans="3:20" ht="15" hidden="1" outlineLevel="2">
      <c r="C603" s="1486"/>
      <c r="D603" s="1464"/>
      <c r="E603" s="1459"/>
      <c r="F603" s="1462"/>
      <c r="G603" s="368"/>
      <c r="H603" s="335" t="s">
        <v>4</v>
      </c>
      <c r="I603" s="336"/>
      <c r="J603" s="336"/>
      <c r="K603" s="336"/>
      <c r="L603" s="336"/>
      <c r="M603" s="363"/>
      <c r="N603" s="336"/>
      <c r="O603" s="338">
        <f t="shared" si="244"/>
        <v>0</v>
      </c>
      <c r="P603" s="336"/>
      <c r="Q603" s="430"/>
      <c r="T603" s="418"/>
    </row>
    <row r="604" spans="3:20" ht="15" hidden="1" outlineLevel="2">
      <c r="C604" s="1486"/>
      <c r="D604" s="1464"/>
      <c r="E604" s="1459"/>
      <c r="F604" s="1462"/>
      <c r="G604" s="368"/>
      <c r="H604" s="335" t="s">
        <v>4</v>
      </c>
      <c r="I604" s="336"/>
      <c r="J604" s="336"/>
      <c r="K604" s="336"/>
      <c r="L604" s="336"/>
      <c r="M604" s="363"/>
      <c r="N604" s="336"/>
      <c r="O604" s="338">
        <f t="shared" si="244"/>
        <v>0</v>
      </c>
      <c r="P604" s="336"/>
      <c r="Q604" s="430"/>
      <c r="T604" s="418"/>
    </row>
    <row r="605" spans="3:20" ht="15" hidden="1" outlineLevel="2">
      <c r="C605" s="1486"/>
      <c r="D605" s="1464"/>
      <c r="E605" s="1459"/>
      <c r="F605" s="1462"/>
      <c r="G605" s="368"/>
      <c r="H605" s="335" t="s">
        <v>4</v>
      </c>
      <c r="I605" s="336"/>
      <c r="J605" s="336"/>
      <c r="K605" s="336"/>
      <c r="L605" s="336"/>
      <c r="M605" s="363"/>
      <c r="N605" s="336"/>
      <c r="O605" s="338">
        <f t="shared" si="244"/>
        <v>0</v>
      </c>
      <c r="P605" s="336"/>
      <c r="Q605" s="430"/>
      <c r="T605" s="418"/>
    </row>
    <row r="606" spans="3:20" ht="15" hidden="1" outlineLevel="2">
      <c r="C606" s="1486"/>
      <c r="D606" s="1464"/>
      <c r="E606" s="1459"/>
      <c r="F606" s="1462"/>
      <c r="G606" s="353"/>
      <c r="H606" s="335" t="s">
        <v>4</v>
      </c>
      <c r="I606" s="336"/>
      <c r="J606" s="336"/>
      <c r="K606" s="336"/>
      <c r="L606" s="336"/>
      <c r="M606" s="363"/>
      <c r="N606" s="336"/>
      <c r="O606" s="338">
        <f t="shared" si="244"/>
        <v>0</v>
      </c>
      <c r="P606" s="336"/>
      <c r="Q606" s="430"/>
      <c r="T606" s="418"/>
    </row>
    <row r="607" spans="3:20" ht="15" hidden="1" outlineLevel="2">
      <c r="C607" s="1486"/>
      <c r="D607" s="1464"/>
      <c r="E607" s="1459"/>
      <c r="F607" s="1462"/>
      <c r="G607" s="1454" t="s">
        <v>45</v>
      </c>
      <c r="H607" s="1455"/>
      <c r="I607" s="359">
        <f>SUM(I579:I606)</f>
        <v>0</v>
      </c>
      <c r="J607" s="359">
        <f t="shared" ref="J607:L607" si="250">SUM(J579:J606)</f>
        <v>0</v>
      </c>
      <c r="K607" s="359">
        <f t="shared" si="250"/>
        <v>0</v>
      </c>
      <c r="L607" s="359">
        <f t="shared" si="250"/>
        <v>0</v>
      </c>
      <c r="M607" s="360" t="s">
        <v>43</v>
      </c>
      <c r="N607" s="359">
        <f>SUM(N579:N606)</f>
        <v>0</v>
      </c>
      <c r="O607" s="395">
        <f t="shared" si="244"/>
        <v>0</v>
      </c>
      <c r="P607" s="359">
        <f t="shared" ref="P607:Q607" si="251">SUM(P579:P606)</f>
        <v>0</v>
      </c>
      <c r="Q607" s="435">
        <f t="shared" si="251"/>
        <v>0</v>
      </c>
      <c r="T607" s="418"/>
    </row>
    <row r="608" spans="3:20" ht="15" hidden="1" outlineLevel="2">
      <c r="C608" s="1486"/>
      <c r="D608" s="1464"/>
      <c r="E608" s="1459"/>
      <c r="F608" s="1462"/>
      <c r="G608" s="353"/>
      <c r="H608" s="340" t="s">
        <v>29</v>
      </c>
      <c r="I608" s="341"/>
      <c r="J608" s="341"/>
      <c r="K608" s="341"/>
      <c r="L608" s="341"/>
      <c r="M608" s="410"/>
      <c r="N608" s="341"/>
      <c r="O608" s="357">
        <f t="shared" si="244"/>
        <v>0</v>
      </c>
      <c r="P608" s="341"/>
      <c r="Q608" s="431"/>
      <c r="T608" s="418"/>
    </row>
    <row r="609" spans="3:20" ht="15" hidden="1" outlineLevel="2">
      <c r="C609" s="1486"/>
      <c r="D609" s="1464"/>
      <c r="E609" s="1459"/>
      <c r="F609" s="1462"/>
      <c r="G609" s="353"/>
      <c r="H609" s="340" t="s">
        <v>29</v>
      </c>
      <c r="I609" s="341"/>
      <c r="J609" s="341"/>
      <c r="K609" s="341"/>
      <c r="L609" s="341"/>
      <c r="M609" s="410"/>
      <c r="N609" s="341"/>
      <c r="O609" s="357">
        <f t="shared" si="244"/>
        <v>0</v>
      </c>
      <c r="P609" s="341"/>
      <c r="Q609" s="431"/>
      <c r="T609" s="418"/>
    </row>
    <row r="610" spans="3:20" ht="15" hidden="1" outlineLevel="2">
      <c r="C610" s="1486"/>
      <c r="D610" s="1464"/>
      <c r="E610" s="1459"/>
      <c r="F610" s="1462"/>
      <c r="G610" s="353"/>
      <c r="H610" s="340" t="s">
        <v>29</v>
      </c>
      <c r="I610" s="341"/>
      <c r="J610" s="341"/>
      <c r="K610" s="341"/>
      <c r="L610" s="341"/>
      <c r="M610" s="410"/>
      <c r="N610" s="341"/>
      <c r="O610" s="357">
        <f t="shared" si="244"/>
        <v>0</v>
      </c>
      <c r="P610" s="341"/>
      <c r="Q610" s="431"/>
      <c r="T610" s="418"/>
    </row>
    <row r="611" spans="3:20" ht="15" hidden="1" outlineLevel="2">
      <c r="C611" s="1486"/>
      <c r="D611" s="1464"/>
      <c r="E611" s="1459"/>
      <c r="F611" s="1462"/>
      <c r="G611" s="353"/>
      <c r="H611" s="340" t="s">
        <v>29</v>
      </c>
      <c r="I611" s="341"/>
      <c r="J611" s="341"/>
      <c r="K611" s="341"/>
      <c r="L611" s="341"/>
      <c r="M611" s="410"/>
      <c r="N611" s="341"/>
      <c r="O611" s="357">
        <f t="shared" si="244"/>
        <v>0</v>
      </c>
      <c r="P611" s="341"/>
      <c r="Q611" s="431"/>
      <c r="T611" s="418"/>
    </row>
    <row r="612" spans="3:20" ht="15" hidden="1" outlineLevel="2">
      <c r="C612" s="1486"/>
      <c r="D612" s="1464"/>
      <c r="E612" s="1459"/>
      <c r="F612" s="1462"/>
      <c r="G612" s="353"/>
      <c r="H612" s="340" t="s">
        <v>29</v>
      </c>
      <c r="I612" s="341"/>
      <c r="J612" s="341"/>
      <c r="K612" s="341"/>
      <c r="L612" s="341"/>
      <c r="M612" s="410"/>
      <c r="N612" s="341"/>
      <c r="O612" s="357">
        <f t="shared" si="244"/>
        <v>0</v>
      </c>
      <c r="P612" s="341"/>
      <c r="Q612" s="431"/>
      <c r="T612" s="418"/>
    </row>
    <row r="613" spans="3:20" ht="15" hidden="1" outlineLevel="2">
      <c r="C613" s="1486"/>
      <c r="D613" s="1464"/>
      <c r="E613" s="1459"/>
      <c r="F613" s="1462"/>
      <c r="G613" s="353"/>
      <c r="H613" s="340" t="s">
        <v>29</v>
      </c>
      <c r="I613" s="341"/>
      <c r="J613" s="341"/>
      <c r="K613" s="341"/>
      <c r="L613" s="341"/>
      <c r="M613" s="410"/>
      <c r="N613" s="341"/>
      <c r="O613" s="357">
        <f t="shared" si="244"/>
        <v>0</v>
      </c>
      <c r="P613" s="341"/>
      <c r="Q613" s="431"/>
      <c r="T613" s="418"/>
    </row>
    <row r="614" spans="3:20" ht="15" hidden="1" outlineLevel="2">
      <c r="C614" s="1486"/>
      <c r="D614" s="1464"/>
      <c r="E614" s="1459"/>
      <c r="F614" s="1462"/>
      <c r="G614" s="353"/>
      <c r="H614" s="340" t="s">
        <v>29</v>
      </c>
      <c r="I614" s="341"/>
      <c r="J614" s="341"/>
      <c r="K614" s="341"/>
      <c r="L614" s="341"/>
      <c r="M614" s="410"/>
      <c r="N614" s="341"/>
      <c r="O614" s="357">
        <f t="shared" si="244"/>
        <v>0</v>
      </c>
      <c r="P614" s="341"/>
      <c r="Q614" s="431"/>
      <c r="T614" s="418"/>
    </row>
    <row r="615" spans="3:20" ht="15" hidden="1" outlineLevel="2">
      <c r="C615" s="1486"/>
      <c r="D615" s="1464"/>
      <c r="E615" s="1459"/>
      <c r="F615" s="1462"/>
      <c r="G615" s="353"/>
      <c r="H615" s="340" t="s">
        <v>29</v>
      </c>
      <c r="I615" s="341"/>
      <c r="J615" s="341"/>
      <c r="K615" s="341"/>
      <c r="L615" s="341"/>
      <c r="M615" s="410"/>
      <c r="N615" s="341"/>
      <c r="O615" s="357">
        <f t="shared" si="244"/>
        <v>0</v>
      </c>
      <c r="P615" s="341"/>
      <c r="Q615" s="431"/>
      <c r="T615" s="418"/>
    </row>
    <row r="616" spans="3:20" ht="15" hidden="1" outlineLevel="2">
      <c r="C616" s="1486"/>
      <c r="D616" s="1464"/>
      <c r="E616" s="1459"/>
      <c r="F616" s="1462"/>
      <c r="G616" s="353"/>
      <c r="H616" s="340" t="s">
        <v>29</v>
      </c>
      <c r="I616" s="341"/>
      <c r="J616" s="341"/>
      <c r="K616" s="341"/>
      <c r="L616" s="341"/>
      <c r="M616" s="410"/>
      <c r="N616" s="341"/>
      <c r="O616" s="357">
        <f t="shared" si="244"/>
        <v>0</v>
      </c>
      <c r="P616" s="341"/>
      <c r="Q616" s="431"/>
      <c r="T616" s="418"/>
    </row>
    <row r="617" spans="3:20" ht="15" hidden="1" outlineLevel="2">
      <c r="C617" s="1486"/>
      <c r="D617" s="1464"/>
      <c r="E617" s="1459"/>
      <c r="F617" s="1462"/>
      <c r="G617" s="353"/>
      <c r="H617" s="340" t="s">
        <v>29</v>
      </c>
      <c r="I617" s="341"/>
      <c r="J617" s="341"/>
      <c r="K617" s="341"/>
      <c r="L617" s="341"/>
      <c r="M617" s="410"/>
      <c r="N617" s="341"/>
      <c r="O617" s="357">
        <f t="shared" si="244"/>
        <v>0</v>
      </c>
      <c r="P617" s="341"/>
      <c r="Q617" s="431"/>
      <c r="T617" s="418"/>
    </row>
    <row r="618" spans="3:20" ht="15" hidden="1" outlineLevel="2">
      <c r="C618" s="1486"/>
      <c r="D618" s="1464"/>
      <c r="E618" s="1459"/>
      <c r="F618" s="1462"/>
      <c r="G618" s="353"/>
      <c r="H618" s="340" t="s">
        <v>29</v>
      </c>
      <c r="I618" s="341"/>
      <c r="J618" s="341"/>
      <c r="K618" s="341"/>
      <c r="L618" s="341"/>
      <c r="M618" s="410"/>
      <c r="N618" s="341"/>
      <c r="O618" s="357">
        <f t="shared" si="244"/>
        <v>0</v>
      </c>
      <c r="P618" s="341"/>
      <c r="Q618" s="431"/>
      <c r="T618" s="418"/>
    </row>
    <row r="619" spans="3:20" ht="15" hidden="1" outlineLevel="2">
      <c r="C619" s="1486"/>
      <c r="D619" s="1464"/>
      <c r="E619" s="1459"/>
      <c r="F619" s="1462"/>
      <c r="G619" s="353"/>
      <c r="H619" s="340" t="s">
        <v>29</v>
      </c>
      <c r="I619" s="341"/>
      <c r="J619" s="341"/>
      <c r="K619" s="341"/>
      <c r="L619" s="341"/>
      <c r="M619" s="410"/>
      <c r="N619" s="341"/>
      <c r="O619" s="357">
        <f t="shared" si="244"/>
        <v>0</v>
      </c>
      <c r="P619" s="341"/>
      <c r="Q619" s="431"/>
      <c r="T619" s="418"/>
    </row>
    <row r="620" spans="3:20" ht="15" hidden="1" outlineLevel="2">
      <c r="C620" s="1486"/>
      <c r="D620" s="1464"/>
      <c r="E620" s="1459"/>
      <c r="F620" s="1462"/>
      <c r="G620" s="1454" t="s">
        <v>50</v>
      </c>
      <c r="H620" s="1455"/>
      <c r="I620" s="359">
        <f>SUM(I608:I619)</f>
        <v>0</v>
      </c>
      <c r="J620" s="359">
        <f t="shared" ref="J620:K620" si="252">SUM(J608:J619)</f>
        <v>0</v>
      </c>
      <c r="K620" s="359">
        <f t="shared" si="252"/>
        <v>0</v>
      </c>
      <c r="L620" s="359">
        <f t="shared" ref="L620" si="253">SUM(L608:L619)</f>
        <v>0</v>
      </c>
      <c r="M620" s="360" t="s">
        <v>43</v>
      </c>
      <c r="N620" s="359">
        <f>SUM(N608:N619)</f>
        <v>0</v>
      </c>
      <c r="O620" s="395">
        <f t="shared" si="244"/>
        <v>0</v>
      </c>
      <c r="P620" s="359">
        <f t="shared" ref="P620:Q620" si="254">SUM(P608:P619)</f>
        <v>0</v>
      </c>
      <c r="Q620" s="435">
        <f t="shared" si="254"/>
        <v>0</v>
      </c>
      <c r="T620" s="418"/>
    </row>
    <row r="621" spans="3:20" ht="15" hidden="1" outlineLevel="2">
      <c r="C621" s="1486"/>
      <c r="D621" s="1464"/>
      <c r="E621" s="1459"/>
      <c r="F621" s="1462"/>
      <c r="G621" s="353"/>
      <c r="H621" s="340" t="s">
        <v>22</v>
      </c>
      <c r="I621" s="341"/>
      <c r="J621" s="341">
        <v>0</v>
      </c>
      <c r="K621" s="341"/>
      <c r="L621" s="341"/>
      <c r="M621" s="410"/>
      <c r="N621" s="341"/>
      <c r="O621" s="357">
        <f t="shared" si="244"/>
        <v>0</v>
      </c>
      <c r="P621" s="341">
        <v>0</v>
      </c>
      <c r="Q621" s="431">
        <v>0</v>
      </c>
      <c r="T621" s="418"/>
    </row>
    <row r="622" spans="3:20" ht="15" hidden="1" outlineLevel="2">
      <c r="C622" s="1486"/>
      <c r="D622" s="1464"/>
      <c r="E622" s="1459"/>
      <c r="F622" s="1462"/>
      <c r="G622" s="353"/>
      <c r="H622" s="340" t="s">
        <v>22</v>
      </c>
      <c r="I622" s="341"/>
      <c r="J622" s="341">
        <v>0</v>
      </c>
      <c r="K622" s="341"/>
      <c r="L622" s="341"/>
      <c r="M622" s="410"/>
      <c r="N622" s="341"/>
      <c r="O622" s="357">
        <f t="shared" si="244"/>
        <v>0</v>
      </c>
      <c r="P622" s="341">
        <v>0</v>
      </c>
      <c r="Q622" s="431">
        <v>0</v>
      </c>
      <c r="T622" s="418"/>
    </row>
    <row r="623" spans="3:20" ht="15" hidden="1" outlineLevel="2">
      <c r="C623" s="1486"/>
      <c r="D623" s="1464"/>
      <c r="E623" s="1459"/>
      <c r="F623" s="1462"/>
      <c r="G623" s="353"/>
      <c r="H623" s="340" t="s">
        <v>22</v>
      </c>
      <c r="I623" s="341"/>
      <c r="J623" s="341">
        <v>0</v>
      </c>
      <c r="K623" s="341"/>
      <c r="L623" s="341"/>
      <c r="M623" s="410"/>
      <c r="N623" s="341"/>
      <c r="O623" s="357">
        <f t="shared" si="244"/>
        <v>0</v>
      </c>
      <c r="P623" s="341">
        <v>0</v>
      </c>
      <c r="Q623" s="431">
        <v>0</v>
      </c>
      <c r="T623" s="418"/>
    </row>
    <row r="624" spans="3:20" ht="15" hidden="1" outlineLevel="2">
      <c r="C624" s="1486"/>
      <c r="D624" s="1464"/>
      <c r="E624" s="1459"/>
      <c r="F624" s="1462"/>
      <c r="G624" s="353"/>
      <c r="H624" s="340" t="s">
        <v>22</v>
      </c>
      <c r="I624" s="341"/>
      <c r="J624" s="341">
        <v>0</v>
      </c>
      <c r="K624" s="341"/>
      <c r="L624" s="341"/>
      <c r="M624" s="410"/>
      <c r="N624" s="341"/>
      <c r="O624" s="357">
        <f t="shared" si="244"/>
        <v>0</v>
      </c>
      <c r="P624" s="341">
        <v>0</v>
      </c>
      <c r="Q624" s="431">
        <v>0</v>
      </c>
      <c r="T624" s="418"/>
    </row>
    <row r="625" spans="3:20" ht="15" hidden="1" outlineLevel="2">
      <c r="C625" s="1486"/>
      <c r="D625" s="1464"/>
      <c r="E625" s="1459"/>
      <c r="F625" s="1462"/>
      <c r="G625" s="353"/>
      <c r="H625" s="340" t="s">
        <v>22</v>
      </c>
      <c r="I625" s="341"/>
      <c r="J625" s="341">
        <v>0</v>
      </c>
      <c r="K625" s="341"/>
      <c r="L625" s="341"/>
      <c r="M625" s="410"/>
      <c r="N625" s="341"/>
      <c r="O625" s="357">
        <f t="shared" si="244"/>
        <v>0</v>
      </c>
      <c r="P625" s="341">
        <v>0</v>
      </c>
      <c r="Q625" s="431">
        <v>0</v>
      </c>
      <c r="T625" s="418"/>
    </row>
    <row r="626" spans="3:20" ht="15" hidden="1" outlineLevel="2">
      <c r="C626" s="1486"/>
      <c r="D626" s="1464"/>
      <c r="E626" s="1459"/>
      <c r="F626" s="1462"/>
      <c r="G626" s="353"/>
      <c r="H626" s="340" t="s">
        <v>22</v>
      </c>
      <c r="I626" s="341"/>
      <c r="J626" s="341">
        <v>0</v>
      </c>
      <c r="K626" s="341"/>
      <c r="L626" s="341"/>
      <c r="M626" s="410"/>
      <c r="N626" s="341"/>
      <c r="O626" s="357">
        <f t="shared" si="244"/>
        <v>0</v>
      </c>
      <c r="P626" s="341">
        <v>0</v>
      </c>
      <c r="Q626" s="431">
        <v>0</v>
      </c>
      <c r="T626" s="418"/>
    </row>
    <row r="627" spans="3:20" ht="15" hidden="1" outlineLevel="2">
      <c r="C627" s="1486"/>
      <c r="D627" s="1464"/>
      <c r="E627" s="1459"/>
      <c r="F627" s="1462"/>
      <c r="G627" s="353"/>
      <c r="H627" s="340" t="s">
        <v>22</v>
      </c>
      <c r="I627" s="341"/>
      <c r="J627" s="341">
        <v>0</v>
      </c>
      <c r="K627" s="341"/>
      <c r="L627" s="341"/>
      <c r="M627" s="410"/>
      <c r="N627" s="341"/>
      <c r="O627" s="357">
        <f t="shared" si="244"/>
        <v>0</v>
      </c>
      <c r="P627" s="341">
        <v>0</v>
      </c>
      <c r="Q627" s="431">
        <v>0</v>
      </c>
      <c r="T627" s="418"/>
    </row>
    <row r="628" spans="3:20" ht="15" hidden="1" outlineLevel="2">
      <c r="C628" s="1486"/>
      <c r="D628" s="1464"/>
      <c r="E628" s="1459"/>
      <c r="F628" s="1462"/>
      <c r="G628" s="353"/>
      <c r="H628" s="340" t="s">
        <v>22</v>
      </c>
      <c r="I628" s="341"/>
      <c r="J628" s="341">
        <v>0</v>
      </c>
      <c r="K628" s="341"/>
      <c r="L628" s="341"/>
      <c r="M628" s="410"/>
      <c r="N628" s="341"/>
      <c r="O628" s="357">
        <f t="shared" si="244"/>
        <v>0</v>
      </c>
      <c r="P628" s="341">
        <v>0</v>
      </c>
      <c r="Q628" s="431">
        <v>0</v>
      </c>
      <c r="T628" s="418"/>
    </row>
    <row r="629" spans="3:20" ht="15" hidden="1" outlineLevel="2">
      <c r="C629" s="1486"/>
      <c r="D629" s="1464"/>
      <c r="E629" s="1459"/>
      <c r="F629" s="1462"/>
      <c r="G629" s="353"/>
      <c r="H629" s="340" t="s">
        <v>22</v>
      </c>
      <c r="I629" s="341"/>
      <c r="J629" s="341">
        <v>0</v>
      </c>
      <c r="K629" s="341"/>
      <c r="L629" s="341"/>
      <c r="M629" s="410"/>
      <c r="N629" s="341"/>
      <c r="O629" s="357">
        <f t="shared" si="244"/>
        <v>0</v>
      </c>
      <c r="P629" s="341">
        <v>0</v>
      </c>
      <c r="Q629" s="431">
        <v>0</v>
      </c>
      <c r="T629" s="418"/>
    </row>
    <row r="630" spans="3:20" ht="15" hidden="1" outlineLevel="2">
      <c r="C630" s="1486"/>
      <c r="D630" s="1464"/>
      <c r="E630" s="1459"/>
      <c r="F630" s="1462"/>
      <c r="G630" s="353"/>
      <c r="H630" s="340" t="s">
        <v>22</v>
      </c>
      <c r="I630" s="341"/>
      <c r="J630" s="341">
        <v>0</v>
      </c>
      <c r="K630" s="341"/>
      <c r="L630" s="341"/>
      <c r="M630" s="410"/>
      <c r="N630" s="341"/>
      <c r="O630" s="357">
        <f t="shared" si="244"/>
        <v>0</v>
      </c>
      <c r="P630" s="341">
        <v>0</v>
      </c>
      <c r="Q630" s="431">
        <v>0</v>
      </c>
      <c r="T630" s="418"/>
    </row>
    <row r="631" spans="3:20" ht="15" hidden="1" outlineLevel="2">
      <c r="C631" s="1486"/>
      <c r="D631" s="1464"/>
      <c r="E631" s="1459"/>
      <c r="F631" s="1462"/>
      <c r="G631" s="353"/>
      <c r="H631" s="340" t="s">
        <v>22</v>
      </c>
      <c r="I631" s="341"/>
      <c r="J631" s="341">
        <v>0</v>
      </c>
      <c r="K631" s="341"/>
      <c r="L631" s="341"/>
      <c r="M631" s="410"/>
      <c r="N631" s="341"/>
      <c r="O631" s="357">
        <f t="shared" si="244"/>
        <v>0</v>
      </c>
      <c r="P631" s="341">
        <v>0</v>
      </c>
      <c r="Q631" s="431">
        <v>0</v>
      </c>
      <c r="T631" s="418"/>
    </row>
    <row r="632" spans="3:20" ht="15" hidden="1" outlineLevel="2">
      <c r="C632" s="1486"/>
      <c r="D632" s="1464"/>
      <c r="E632" s="1459"/>
      <c r="F632" s="1462"/>
      <c r="G632" s="353"/>
      <c r="H632" s="340" t="s">
        <v>22</v>
      </c>
      <c r="I632" s="341"/>
      <c r="J632" s="341">
        <v>0</v>
      </c>
      <c r="K632" s="341"/>
      <c r="L632" s="341"/>
      <c r="M632" s="410"/>
      <c r="N632" s="341"/>
      <c r="O632" s="357">
        <f t="shared" si="244"/>
        <v>0</v>
      </c>
      <c r="P632" s="341">
        <v>0</v>
      </c>
      <c r="Q632" s="431">
        <v>0</v>
      </c>
      <c r="T632" s="418"/>
    </row>
    <row r="633" spans="3:20" ht="15" hidden="1" outlineLevel="2">
      <c r="C633" s="1486"/>
      <c r="D633" s="1464"/>
      <c r="E633" s="1459"/>
      <c r="F633" s="1462"/>
      <c r="G633" s="353"/>
      <c r="H633" s="340" t="s">
        <v>22</v>
      </c>
      <c r="I633" s="341"/>
      <c r="J633" s="341">
        <v>0</v>
      </c>
      <c r="K633" s="341"/>
      <c r="L633" s="341"/>
      <c r="M633" s="410"/>
      <c r="N633" s="341"/>
      <c r="O633" s="357">
        <f t="shared" si="244"/>
        <v>0</v>
      </c>
      <c r="P633" s="341">
        <v>0</v>
      </c>
      <c r="Q633" s="431">
        <v>0</v>
      </c>
      <c r="T633" s="418"/>
    </row>
    <row r="634" spans="3:20" ht="15" hidden="1" outlineLevel="2">
      <c r="C634" s="1486"/>
      <c r="D634" s="1464"/>
      <c r="E634" s="1459"/>
      <c r="F634" s="1462"/>
      <c r="G634" s="353"/>
      <c r="H634" s="340" t="s">
        <v>22</v>
      </c>
      <c r="I634" s="341"/>
      <c r="J634" s="341">
        <v>0</v>
      </c>
      <c r="K634" s="341"/>
      <c r="L634" s="341"/>
      <c r="M634" s="410"/>
      <c r="N634" s="341"/>
      <c r="O634" s="357">
        <f t="shared" si="244"/>
        <v>0</v>
      </c>
      <c r="P634" s="341">
        <v>0</v>
      </c>
      <c r="Q634" s="431">
        <v>0</v>
      </c>
      <c r="T634" s="418"/>
    </row>
    <row r="635" spans="3:20" ht="15" hidden="1" outlineLevel="2">
      <c r="C635" s="1486"/>
      <c r="D635" s="1464"/>
      <c r="E635" s="1459"/>
      <c r="F635" s="1462"/>
      <c r="G635" s="353"/>
      <c r="H635" s="340" t="s">
        <v>22</v>
      </c>
      <c r="I635" s="341"/>
      <c r="J635" s="341">
        <v>0</v>
      </c>
      <c r="K635" s="341"/>
      <c r="L635" s="341"/>
      <c r="M635" s="410"/>
      <c r="N635" s="341"/>
      <c r="O635" s="357">
        <f t="shared" si="244"/>
        <v>0</v>
      </c>
      <c r="P635" s="341">
        <v>0</v>
      </c>
      <c r="Q635" s="431">
        <v>0</v>
      </c>
      <c r="T635" s="418"/>
    </row>
    <row r="636" spans="3:20" ht="15" hidden="1" outlineLevel="2">
      <c r="C636" s="1486"/>
      <c r="D636" s="1464"/>
      <c r="E636" s="1459"/>
      <c r="F636" s="1462"/>
      <c r="G636" s="353"/>
      <c r="H636" s="340" t="s">
        <v>22</v>
      </c>
      <c r="I636" s="341"/>
      <c r="J636" s="341">
        <v>0</v>
      </c>
      <c r="K636" s="341"/>
      <c r="L636" s="341"/>
      <c r="M636" s="410"/>
      <c r="N636" s="341"/>
      <c r="O636" s="357">
        <f t="shared" si="244"/>
        <v>0</v>
      </c>
      <c r="P636" s="341">
        <v>0</v>
      </c>
      <c r="Q636" s="431">
        <v>0</v>
      </c>
      <c r="T636" s="418"/>
    </row>
    <row r="637" spans="3:20" ht="15" hidden="1" outlineLevel="2">
      <c r="C637" s="1486"/>
      <c r="D637" s="1464"/>
      <c r="E637" s="1459"/>
      <c r="F637" s="1462"/>
      <c r="G637" s="353"/>
      <c r="H637" s="340" t="s">
        <v>22</v>
      </c>
      <c r="I637" s="341"/>
      <c r="J637" s="341">
        <v>0</v>
      </c>
      <c r="K637" s="341"/>
      <c r="L637" s="341"/>
      <c r="M637" s="410"/>
      <c r="N637" s="341"/>
      <c r="O637" s="357">
        <f t="shared" si="244"/>
        <v>0</v>
      </c>
      <c r="P637" s="341">
        <v>0</v>
      </c>
      <c r="Q637" s="431">
        <v>0</v>
      </c>
      <c r="T637" s="418"/>
    </row>
    <row r="638" spans="3:20" ht="15" hidden="1" outlineLevel="2">
      <c r="C638" s="1486"/>
      <c r="D638" s="1464"/>
      <c r="E638" s="1459"/>
      <c r="F638" s="1462"/>
      <c r="G638" s="353"/>
      <c r="H638" s="340" t="s">
        <v>22</v>
      </c>
      <c r="I638" s="341"/>
      <c r="J638" s="341">
        <v>0</v>
      </c>
      <c r="K638" s="341"/>
      <c r="L638" s="341"/>
      <c r="M638" s="410"/>
      <c r="N638" s="341"/>
      <c r="O638" s="357">
        <f t="shared" si="244"/>
        <v>0</v>
      </c>
      <c r="P638" s="341">
        <v>0</v>
      </c>
      <c r="Q638" s="431">
        <v>0</v>
      </c>
      <c r="T638" s="418"/>
    </row>
    <row r="639" spans="3:20" ht="15" hidden="1" outlineLevel="2">
      <c r="C639" s="1486"/>
      <c r="D639" s="1464"/>
      <c r="E639" s="1459"/>
      <c r="F639" s="1462"/>
      <c r="G639" s="353"/>
      <c r="H639" s="340" t="s">
        <v>22</v>
      </c>
      <c r="I639" s="341"/>
      <c r="J639" s="341">
        <v>0</v>
      </c>
      <c r="K639" s="341"/>
      <c r="L639" s="341"/>
      <c r="M639" s="410"/>
      <c r="N639" s="341"/>
      <c r="O639" s="357">
        <f t="shared" si="244"/>
        <v>0</v>
      </c>
      <c r="P639" s="341">
        <v>0</v>
      </c>
      <c r="Q639" s="431">
        <v>0</v>
      </c>
      <c r="T639" s="418"/>
    </row>
    <row r="640" spans="3:20" ht="15" hidden="1" outlineLevel="2">
      <c r="C640" s="1486"/>
      <c r="D640" s="1464"/>
      <c r="E640" s="1459"/>
      <c r="F640" s="1462"/>
      <c r="G640" s="1454" t="s">
        <v>44</v>
      </c>
      <c r="H640" s="1455"/>
      <c r="I640" s="365">
        <f>SUM(I621:I639)</f>
        <v>0</v>
      </c>
      <c r="J640" s="365">
        <f t="shared" ref="J640:K640" si="255">SUM(J621:J639)</f>
        <v>0</v>
      </c>
      <c r="K640" s="365">
        <f t="shared" si="255"/>
        <v>0</v>
      </c>
      <c r="L640" s="365">
        <f t="shared" ref="L640" si="256">SUM(L621:L639)</f>
        <v>0</v>
      </c>
      <c r="M640" s="366" t="s">
        <v>43</v>
      </c>
      <c r="N640" s="365">
        <f t="shared" ref="N640" si="257">SUM(N621:N639)</f>
        <v>0</v>
      </c>
      <c r="O640" s="395">
        <f t="shared" ref="O640:O703" si="258">IF(N640=0,0,N640/J640)</f>
        <v>0</v>
      </c>
      <c r="P640" s="365">
        <f t="shared" ref="P640:Q640" si="259">SUM(P621:P639)</f>
        <v>0</v>
      </c>
      <c r="Q640" s="436">
        <f t="shared" si="259"/>
        <v>0</v>
      </c>
      <c r="T640" s="418"/>
    </row>
    <row r="641" spans="3:26" ht="15" hidden="1" outlineLevel="2">
      <c r="C641" s="1486"/>
      <c r="D641" s="1464"/>
      <c r="E641" s="1459"/>
      <c r="F641" s="1462"/>
      <c r="G641" s="350"/>
      <c r="H641" s="335" t="s">
        <v>4</v>
      </c>
      <c r="I641" s="336">
        <f>I607</f>
        <v>0</v>
      </c>
      <c r="J641" s="336">
        <f>J607</f>
        <v>0</v>
      </c>
      <c r="K641" s="336">
        <f>K607</f>
        <v>0</v>
      </c>
      <c r="L641" s="336">
        <f>L607</f>
        <v>0</v>
      </c>
      <c r="M641" s="337" t="s">
        <v>49</v>
      </c>
      <c r="N641" s="336">
        <f>N607</f>
        <v>0</v>
      </c>
      <c r="O641" s="338">
        <f t="shared" si="258"/>
        <v>0</v>
      </c>
      <c r="P641" s="336">
        <f>P607</f>
        <v>0</v>
      </c>
      <c r="Q641" s="430">
        <f>Q607</f>
        <v>0</v>
      </c>
      <c r="T641" s="418"/>
    </row>
    <row r="642" spans="3:26" ht="15" hidden="1" outlineLevel="2">
      <c r="C642" s="1486"/>
      <c r="D642" s="1464"/>
      <c r="E642" s="1459"/>
      <c r="F642" s="1462"/>
      <c r="G642" s="350"/>
      <c r="H642" s="335" t="s">
        <v>29</v>
      </c>
      <c r="I642" s="336">
        <f>I620</f>
        <v>0</v>
      </c>
      <c r="J642" s="336">
        <f t="shared" ref="J642:M642" si="260">J620</f>
        <v>0</v>
      </c>
      <c r="K642" s="336">
        <f t="shared" si="260"/>
        <v>0</v>
      </c>
      <c r="L642" s="336">
        <f t="shared" ref="L642" si="261">L620</f>
        <v>0</v>
      </c>
      <c r="M642" s="336" t="str">
        <f t="shared" si="260"/>
        <v>Cash Security</v>
      </c>
      <c r="N642" s="336">
        <f t="shared" ref="N642" si="262">N620</f>
        <v>0</v>
      </c>
      <c r="O642" s="338">
        <f t="shared" si="258"/>
        <v>0</v>
      </c>
      <c r="P642" s="336">
        <f t="shared" ref="P642:Q642" si="263">P620</f>
        <v>0</v>
      </c>
      <c r="Q642" s="430">
        <f t="shared" si="263"/>
        <v>0</v>
      </c>
      <c r="T642" s="418"/>
    </row>
    <row r="643" spans="3:26" ht="15" hidden="1" outlineLevel="2">
      <c r="C643" s="1486"/>
      <c r="D643" s="1464"/>
      <c r="E643" s="1459"/>
      <c r="F643" s="1462"/>
      <c r="G643" s="343"/>
      <c r="H643" s="335" t="s">
        <v>22</v>
      </c>
      <c r="I643" s="336">
        <f>I640</f>
        <v>0</v>
      </c>
      <c r="J643" s="336">
        <f t="shared" ref="J643:M643" si="264">J640</f>
        <v>0</v>
      </c>
      <c r="K643" s="336">
        <f t="shared" si="264"/>
        <v>0</v>
      </c>
      <c r="L643" s="336">
        <f t="shared" ref="L643" si="265">L640</f>
        <v>0</v>
      </c>
      <c r="M643" s="336" t="str">
        <f t="shared" si="264"/>
        <v>Cash Security</v>
      </c>
      <c r="N643" s="336">
        <f t="shared" ref="N643" si="266">N640</f>
        <v>0</v>
      </c>
      <c r="O643" s="338">
        <f t="shared" si="258"/>
        <v>0</v>
      </c>
      <c r="P643" s="336">
        <f t="shared" ref="P643:Q643" si="267">P640</f>
        <v>0</v>
      </c>
      <c r="Q643" s="430">
        <f t="shared" si="267"/>
        <v>0</v>
      </c>
      <c r="T643" s="418"/>
    </row>
    <row r="644" spans="3:26" ht="15.75" hidden="1" outlineLevel="1" collapsed="1" thickBot="1">
      <c r="C644" s="1486"/>
      <c r="D644" s="1464"/>
      <c r="E644" s="1459"/>
      <c r="F644" s="1463"/>
      <c r="G644" s="1454" t="s">
        <v>177</v>
      </c>
      <c r="H644" s="1475"/>
      <c r="I644" s="414">
        <f>(I641/usdrate)+(I642*eurrate)+I643</f>
        <v>0</v>
      </c>
      <c r="J644" s="414">
        <f>(J641/usdrate)+(J642*eurrate)+J643</f>
        <v>0</v>
      </c>
      <c r="K644" s="414">
        <f>(K641/usdrate)+(K642*eurrate)+K643</f>
        <v>0</v>
      </c>
      <c r="L644" s="414">
        <f>(L641/usdrate)+(L642*eurrate)+L643</f>
        <v>0</v>
      </c>
      <c r="M644" s="415" t="s">
        <v>178</v>
      </c>
      <c r="N644" s="412">
        <f>(N641/usdrate)+(N642*eurrate)+N643</f>
        <v>0</v>
      </c>
      <c r="O644" s="413">
        <f t="shared" si="258"/>
        <v>0</v>
      </c>
      <c r="P644" s="414">
        <f>(P641/usdrate)+(P642*eurrate)+P643</f>
        <v>0</v>
      </c>
      <c r="Q644" s="444">
        <f>(Q641/usdrate)+(Q642*eurrate)+Q643</f>
        <v>0</v>
      </c>
      <c r="T644" s="418"/>
    </row>
    <row r="645" spans="3:26" ht="15.75" hidden="1" outlineLevel="2" thickTop="1">
      <c r="C645" s="1486"/>
      <c r="D645" s="1464"/>
      <c r="E645" s="1459"/>
      <c r="F645" s="1461" t="s">
        <v>221</v>
      </c>
      <c r="G645" s="396"/>
      <c r="H645" s="397" t="s">
        <v>4</v>
      </c>
      <c r="I645" s="377"/>
      <c r="J645" s="377"/>
      <c r="K645" s="377" t="e">
        <f t="shared" ref="K645:L646" si="268">Z645</f>
        <v>#DIV/0!</v>
      </c>
      <c r="L645" s="377">
        <f t="shared" si="268"/>
        <v>0</v>
      </c>
      <c r="M645" s="416"/>
      <c r="N645" s="364"/>
      <c r="O645" s="358">
        <f t="shared" si="258"/>
        <v>0</v>
      </c>
      <c r="P645" s="377"/>
      <c r="Q645" s="445"/>
      <c r="R645" s="28">
        <f t="shared" ref="R645:R654" si="269">IF(H645="USD",$B$4,IF(H645="ILS",$B$2,IF(H645="JOD",$B$3,"")))</f>
        <v>0.05</v>
      </c>
      <c r="S645" s="17">
        <f t="shared" ref="S645:S654" si="270">R645*J645</f>
        <v>0</v>
      </c>
      <c r="T645" s="419">
        <f t="shared" ref="T645:T654" si="271">R645*I645</f>
        <v>0</v>
      </c>
      <c r="U645" s="43"/>
      <c r="V645" s="44">
        <f t="shared" ref="V645:V676" si="272">U645/12</f>
        <v>0</v>
      </c>
      <c r="W645" s="35">
        <f t="shared" ref="W645" si="273">T645*V645</f>
        <v>0</v>
      </c>
      <c r="X645" s="35"/>
      <c r="Y645" s="45">
        <f t="shared" ref="Y645:Y654" si="274">I645+W645</f>
        <v>0</v>
      </c>
      <c r="Z645" s="45" t="e">
        <f t="shared" ref="Z645" si="275">Y645/U645</f>
        <v>#DIV/0!</v>
      </c>
    </row>
    <row r="646" spans="3:26" ht="15" hidden="1" outlineLevel="2">
      <c r="C646" s="1486"/>
      <c r="D646" s="1464"/>
      <c r="E646" s="1459"/>
      <c r="F646" s="1462"/>
      <c r="G646" s="339"/>
      <c r="H646" s="335" t="s">
        <v>4</v>
      </c>
      <c r="I646" s="341"/>
      <c r="J646" s="341"/>
      <c r="K646" s="341" t="e">
        <f t="shared" si="268"/>
        <v>#DIV/0!</v>
      </c>
      <c r="L646" s="341">
        <f t="shared" si="268"/>
        <v>0</v>
      </c>
      <c r="M646" s="337"/>
      <c r="N646" s="341"/>
      <c r="O646" s="338">
        <f t="shared" si="258"/>
        <v>0</v>
      </c>
      <c r="P646" s="341"/>
      <c r="Q646" s="431"/>
      <c r="R646" s="28">
        <f t="shared" si="269"/>
        <v>0.05</v>
      </c>
      <c r="S646" s="17">
        <f t="shared" si="270"/>
        <v>0</v>
      </c>
      <c r="T646" s="419">
        <f t="shared" si="271"/>
        <v>0</v>
      </c>
      <c r="U646" s="43"/>
      <c r="V646" s="44">
        <f t="shared" si="272"/>
        <v>0</v>
      </c>
      <c r="W646" s="35">
        <f t="shared" ref="W646:W676" si="276">T646*V646</f>
        <v>0</v>
      </c>
      <c r="X646" s="35"/>
      <c r="Y646" s="45">
        <f t="shared" si="274"/>
        <v>0</v>
      </c>
      <c r="Z646" s="45" t="e">
        <f t="shared" ref="Z646:Z676" si="277">Y646/U646</f>
        <v>#DIV/0!</v>
      </c>
    </row>
    <row r="647" spans="3:26" ht="15" hidden="1" outlineLevel="2">
      <c r="C647" s="1486"/>
      <c r="D647" s="1464"/>
      <c r="E647" s="1459"/>
      <c r="F647" s="1462"/>
      <c r="G647" s="339"/>
      <c r="H647" s="335" t="s">
        <v>4</v>
      </c>
      <c r="I647" s="341"/>
      <c r="J647" s="341"/>
      <c r="K647" s="341" t="e">
        <f t="shared" ref="K647:L654" si="278">Z647</f>
        <v>#DIV/0!</v>
      </c>
      <c r="L647" s="341">
        <f t="shared" si="278"/>
        <v>0</v>
      </c>
      <c r="M647" s="337"/>
      <c r="N647" s="341"/>
      <c r="O647" s="338">
        <f t="shared" si="258"/>
        <v>0</v>
      </c>
      <c r="P647" s="341"/>
      <c r="Q647" s="431"/>
      <c r="R647" s="28">
        <f t="shared" si="269"/>
        <v>0.05</v>
      </c>
      <c r="S647" s="17">
        <f t="shared" si="270"/>
        <v>0</v>
      </c>
      <c r="T647" s="419">
        <f t="shared" si="271"/>
        <v>0</v>
      </c>
      <c r="U647" s="43"/>
      <c r="V647" s="44">
        <f t="shared" si="272"/>
        <v>0</v>
      </c>
      <c r="W647" s="35">
        <f t="shared" si="276"/>
        <v>0</v>
      </c>
      <c r="X647" s="35"/>
      <c r="Y647" s="45">
        <f t="shared" si="274"/>
        <v>0</v>
      </c>
      <c r="Z647" s="45" t="e">
        <f t="shared" si="277"/>
        <v>#DIV/0!</v>
      </c>
    </row>
    <row r="648" spans="3:26" ht="15" hidden="1" outlineLevel="2">
      <c r="C648" s="1486"/>
      <c r="D648" s="1464"/>
      <c r="E648" s="1459"/>
      <c r="F648" s="1462"/>
      <c r="G648" s="339"/>
      <c r="H648" s="335" t="s">
        <v>4</v>
      </c>
      <c r="I648" s="341"/>
      <c r="J648" s="341"/>
      <c r="K648" s="341" t="e">
        <f t="shared" si="278"/>
        <v>#DIV/0!</v>
      </c>
      <c r="L648" s="341">
        <f t="shared" si="278"/>
        <v>0</v>
      </c>
      <c r="M648" s="342"/>
      <c r="N648" s="341"/>
      <c r="O648" s="338">
        <f t="shared" si="258"/>
        <v>0</v>
      </c>
      <c r="P648" s="341"/>
      <c r="Q648" s="431"/>
      <c r="R648" s="28">
        <f t="shared" si="269"/>
        <v>0.05</v>
      </c>
      <c r="S648" s="17">
        <f t="shared" si="270"/>
        <v>0</v>
      </c>
      <c r="T648" s="419">
        <f t="shared" si="271"/>
        <v>0</v>
      </c>
      <c r="U648" s="43"/>
      <c r="V648" s="44">
        <f t="shared" si="272"/>
        <v>0</v>
      </c>
      <c r="W648" s="35">
        <f t="shared" si="276"/>
        <v>0</v>
      </c>
      <c r="X648" s="35"/>
      <c r="Y648" s="45">
        <f t="shared" si="274"/>
        <v>0</v>
      </c>
      <c r="Z648" s="45" t="e">
        <f t="shared" si="277"/>
        <v>#DIV/0!</v>
      </c>
    </row>
    <row r="649" spans="3:26" ht="15" hidden="1" outlineLevel="2">
      <c r="C649" s="1486"/>
      <c r="D649" s="1464"/>
      <c r="E649" s="1459"/>
      <c r="F649" s="1462"/>
      <c r="G649" s="339"/>
      <c r="H649" s="335" t="s">
        <v>4</v>
      </c>
      <c r="I649" s="341"/>
      <c r="J649" s="341"/>
      <c r="K649" s="341" t="e">
        <f t="shared" si="278"/>
        <v>#DIV/0!</v>
      </c>
      <c r="L649" s="341">
        <f t="shared" si="278"/>
        <v>0</v>
      </c>
      <c r="M649" s="342"/>
      <c r="N649" s="341"/>
      <c r="O649" s="338">
        <f t="shared" si="258"/>
        <v>0</v>
      </c>
      <c r="P649" s="341"/>
      <c r="Q649" s="431"/>
      <c r="R649" s="28">
        <f t="shared" si="269"/>
        <v>0.05</v>
      </c>
      <c r="S649" s="17">
        <f t="shared" si="270"/>
        <v>0</v>
      </c>
      <c r="T649" s="419">
        <f t="shared" si="271"/>
        <v>0</v>
      </c>
      <c r="U649" s="43"/>
      <c r="V649" s="44">
        <f t="shared" si="272"/>
        <v>0</v>
      </c>
      <c r="W649" s="35">
        <f t="shared" si="276"/>
        <v>0</v>
      </c>
      <c r="X649" s="35"/>
      <c r="Y649" s="45">
        <f t="shared" si="274"/>
        <v>0</v>
      </c>
      <c r="Z649" s="45" t="e">
        <f t="shared" si="277"/>
        <v>#DIV/0!</v>
      </c>
    </row>
    <row r="650" spans="3:26" ht="15" hidden="1" outlineLevel="2">
      <c r="C650" s="1486"/>
      <c r="D650" s="1464"/>
      <c r="E650" s="1459"/>
      <c r="F650" s="1462"/>
      <c r="G650" s="339"/>
      <c r="H650" s="335" t="s">
        <v>4</v>
      </c>
      <c r="I650" s="341"/>
      <c r="J650" s="341"/>
      <c r="K650" s="341" t="e">
        <f t="shared" si="278"/>
        <v>#DIV/0!</v>
      </c>
      <c r="L650" s="341">
        <f t="shared" si="278"/>
        <v>0</v>
      </c>
      <c r="M650" s="342"/>
      <c r="N650" s="341"/>
      <c r="O650" s="338">
        <f t="shared" si="258"/>
        <v>0</v>
      </c>
      <c r="P650" s="341"/>
      <c r="Q650" s="431"/>
      <c r="R650" s="28">
        <f t="shared" si="269"/>
        <v>0.05</v>
      </c>
      <c r="S650" s="17">
        <f t="shared" si="270"/>
        <v>0</v>
      </c>
      <c r="T650" s="419">
        <f t="shared" si="271"/>
        <v>0</v>
      </c>
      <c r="U650" s="43"/>
      <c r="V650" s="44">
        <f t="shared" si="272"/>
        <v>0</v>
      </c>
      <c r="W650" s="35">
        <f t="shared" si="276"/>
        <v>0</v>
      </c>
      <c r="X650" s="35"/>
      <c r="Y650" s="45">
        <f t="shared" si="274"/>
        <v>0</v>
      </c>
      <c r="Z650" s="45" t="e">
        <f t="shared" si="277"/>
        <v>#DIV/0!</v>
      </c>
    </row>
    <row r="651" spans="3:26" ht="15" hidden="1" outlineLevel="2">
      <c r="C651" s="1486"/>
      <c r="D651" s="1464"/>
      <c r="E651" s="1459"/>
      <c r="F651" s="1462"/>
      <c r="G651" s="339"/>
      <c r="H651" s="335" t="s">
        <v>4</v>
      </c>
      <c r="I651" s="341"/>
      <c r="J651" s="341"/>
      <c r="K651" s="341" t="e">
        <f t="shared" si="278"/>
        <v>#DIV/0!</v>
      </c>
      <c r="L651" s="341">
        <f t="shared" si="278"/>
        <v>0</v>
      </c>
      <c r="M651" s="342"/>
      <c r="N651" s="341"/>
      <c r="O651" s="338">
        <f t="shared" si="258"/>
        <v>0</v>
      </c>
      <c r="P651" s="341"/>
      <c r="Q651" s="431"/>
      <c r="R651" s="28">
        <f t="shared" si="269"/>
        <v>0.05</v>
      </c>
      <c r="S651" s="17">
        <f t="shared" si="270"/>
        <v>0</v>
      </c>
      <c r="T651" s="419">
        <f t="shared" si="271"/>
        <v>0</v>
      </c>
      <c r="U651" s="43"/>
      <c r="V651" s="44">
        <f t="shared" si="272"/>
        <v>0</v>
      </c>
      <c r="W651" s="35">
        <f t="shared" si="276"/>
        <v>0</v>
      </c>
      <c r="X651" s="35"/>
      <c r="Y651" s="45">
        <f t="shared" si="274"/>
        <v>0</v>
      </c>
      <c r="Z651" s="45" t="e">
        <f t="shared" si="277"/>
        <v>#DIV/0!</v>
      </c>
    </row>
    <row r="652" spans="3:26" ht="15" hidden="1" outlineLevel="2">
      <c r="C652" s="1486"/>
      <c r="D652" s="1464"/>
      <c r="E652" s="1459"/>
      <c r="F652" s="1462"/>
      <c r="G652" s="339"/>
      <c r="H652" s="335" t="s">
        <v>4</v>
      </c>
      <c r="I652" s="341"/>
      <c r="J652" s="341"/>
      <c r="K652" s="341" t="e">
        <f t="shared" si="278"/>
        <v>#DIV/0!</v>
      </c>
      <c r="L652" s="341">
        <f t="shared" si="278"/>
        <v>0</v>
      </c>
      <c r="M652" s="342"/>
      <c r="N652" s="341"/>
      <c r="O652" s="338">
        <f t="shared" si="258"/>
        <v>0</v>
      </c>
      <c r="P652" s="341"/>
      <c r="Q652" s="431"/>
      <c r="R652" s="28">
        <f t="shared" si="269"/>
        <v>0.05</v>
      </c>
      <c r="S652" s="17">
        <f t="shared" si="270"/>
        <v>0</v>
      </c>
      <c r="T652" s="419">
        <f t="shared" si="271"/>
        <v>0</v>
      </c>
      <c r="U652" s="43"/>
      <c r="V652" s="44">
        <f t="shared" si="272"/>
        <v>0</v>
      </c>
      <c r="W652" s="35">
        <f t="shared" si="276"/>
        <v>0</v>
      </c>
      <c r="X652" s="35"/>
      <c r="Y652" s="45">
        <f t="shared" si="274"/>
        <v>0</v>
      </c>
      <c r="Z652" s="45" t="e">
        <f t="shared" si="277"/>
        <v>#DIV/0!</v>
      </c>
    </row>
    <row r="653" spans="3:26" ht="15" hidden="1" outlineLevel="2">
      <c r="C653" s="1486"/>
      <c r="D653" s="1464"/>
      <c r="E653" s="1459"/>
      <c r="F653" s="1462"/>
      <c r="G653" s="384"/>
      <c r="H653" s="335" t="s">
        <v>4</v>
      </c>
      <c r="I653" s="345"/>
      <c r="J653" s="345"/>
      <c r="K653" s="341" t="e">
        <f t="shared" si="278"/>
        <v>#DIV/0!</v>
      </c>
      <c r="L653" s="341">
        <f t="shared" si="278"/>
        <v>0</v>
      </c>
      <c r="M653" s="346"/>
      <c r="N653" s="345"/>
      <c r="O653" s="338">
        <f t="shared" si="258"/>
        <v>0</v>
      </c>
      <c r="P653" s="345"/>
      <c r="Q653" s="432"/>
      <c r="R653" s="28">
        <f t="shared" si="269"/>
        <v>0.05</v>
      </c>
      <c r="S653" s="17">
        <f t="shared" si="270"/>
        <v>0</v>
      </c>
      <c r="T653" s="419">
        <f t="shared" si="271"/>
        <v>0</v>
      </c>
      <c r="U653" s="43"/>
      <c r="V653" s="44">
        <f t="shared" si="272"/>
        <v>0</v>
      </c>
      <c r="W653" s="35">
        <f t="shared" si="276"/>
        <v>0</v>
      </c>
      <c r="X653" s="35"/>
      <c r="Y653" s="45">
        <f t="shared" si="274"/>
        <v>0</v>
      </c>
      <c r="Z653" s="45" t="e">
        <f t="shared" si="277"/>
        <v>#DIV/0!</v>
      </c>
    </row>
    <row r="654" spans="3:26" ht="15" hidden="1" outlineLevel="2">
      <c r="C654" s="1486"/>
      <c r="D654" s="1464"/>
      <c r="E654" s="1459"/>
      <c r="F654" s="1462"/>
      <c r="G654" s="339"/>
      <c r="H654" s="335" t="s">
        <v>4</v>
      </c>
      <c r="I654" s="341"/>
      <c r="J654" s="341"/>
      <c r="K654" s="341" t="e">
        <f t="shared" si="278"/>
        <v>#DIV/0!</v>
      </c>
      <c r="L654" s="341">
        <f t="shared" si="278"/>
        <v>0</v>
      </c>
      <c r="M654" s="342"/>
      <c r="N654" s="341"/>
      <c r="O654" s="338">
        <f t="shared" si="258"/>
        <v>0</v>
      </c>
      <c r="P654" s="341"/>
      <c r="Q654" s="431"/>
      <c r="R654" s="28">
        <f t="shared" si="269"/>
        <v>0.05</v>
      </c>
      <c r="S654" s="15">
        <f t="shared" si="270"/>
        <v>0</v>
      </c>
      <c r="T654" s="421">
        <f t="shared" si="271"/>
        <v>0</v>
      </c>
      <c r="U654" s="49"/>
      <c r="V654" s="50">
        <f t="shared" si="272"/>
        <v>0</v>
      </c>
      <c r="W654" s="38">
        <f t="shared" si="276"/>
        <v>0</v>
      </c>
      <c r="X654" s="38"/>
      <c r="Y654" s="51">
        <f t="shared" si="274"/>
        <v>0</v>
      </c>
      <c r="Z654" s="51" t="e">
        <f t="shared" si="277"/>
        <v>#DIV/0!</v>
      </c>
    </row>
    <row r="655" spans="3:26" ht="15" hidden="1" outlineLevel="2">
      <c r="C655" s="1486"/>
      <c r="D655" s="1464"/>
      <c r="E655" s="1459"/>
      <c r="F655" s="1462"/>
      <c r="G655" s="1454" t="s">
        <v>45</v>
      </c>
      <c r="H655" s="1455"/>
      <c r="I655" s="371">
        <f>SUM(I645:I654)</f>
        <v>0</v>
      </c>
      <c r="J655" s="371">
        <f t="shared" ref="J655" si="279">SUM(J645:J654)</f>
        <v>0</v>
      </c>
      <c r="K655" s="371">
        <f>SUMIFS(K645:K654,K645:K654,"&lt;&gt;",K645:K654,"&lt;"&amp;99^99)</f>
        <v>0</v>
      </c>
      <c r="L655" s="371">
        <f>SUMIFS(L645:L654,L645:L654,"&lt;&gt;",L645:L654,"&lt;"&amp;99^99)</f>
        <v>0</v>
      </c>
      <c r="M655" s="359"/>
      <c r="N655" s="371">
        <f>N645</f>
        <v>0</v>
      </c>
      <c r="O655" s="367">
        <f t="shared" si="258"/>
        <v>0</v>
      </c>
      <c r="P655" s="371">
        <f t="shared" ref="P655:Q655" si="280">SUM(P645:P654)</f>
        <v>0</v>
      </c>
      <c r="Q655" s="438">
        <f t="shared" si="280"/>
        <v>0</v>
      </c>
      <c r="R655" s="52"/>
      <c r="S655" s="53"/>
      <c r="T655" s="419"/>
      <c r="U655" s="53"/>
      <c r="V655" s="54"/>
      <c r="W655" s="53"/>
      <c r="X655" s="53"/>
      <c r="Y655" s="53"/>
      <c r="Z655" s="53"/>
    </row>
    <row r="656" spans="3:26" ht="15" hidden="1" outlineLevel="2">
      <c r="C656" s="1486"/>
      <c r="D656" s="1464"/>
      <c r="E656" s="1459"/>
      <c r="F656" s="1462"/>
      <c r="G656" s="383"/>
      <c r="H656" s="335" t="s">
        <v>28</v>
      </c>
      <c r="I656" s="398"/>
      <c r="J656" s="336"/>
      <c r="K656" s="341" t="e">
        <f t="shared" ref="K656:K665" si="281">Z656</f>
        <v>#DIV/0!</v>
      </c>
      <c r="L656" s="341">
        <f t="shared" ref="L656:L665" si="282">AA656</f>
        <v>0</v>
      </c>
      <c r="M656" s="337"/>
      <c r="N656" s="336"/>
      <c r="O656" s="338">
        <f t="shared" si="258"/>
        <v>0</v>
      </c>
      <c r="P656" s="336"/>
      <c r="Q656" s="430"/>
      <c r="R656" s="28">
        <f t="shared" ref="R656:R665" si="283">IF(H656="USD",$B$4,IF(H656="ILS",$B$2,IF(H656="JOD",$B$3,"")))</f>
        <v>3.5000000000000003E-2</v>
      </c>
      <c r="S656" s="16">
        <f t="shared" ref="S656:S665" si="284">R656*J656</f>
        <v>0</v>
      </c>
      <c r="T656" s="422">
        <f t="shared" ref="T656:T665" si="285">R656*I656</f>
        <v>0</v>
      </c>
      <c r="U656" s="33"/>
      <c r="V656" s="34">
        <f t="shared" si="272"/>
        <v>0</v>
      </c>
      <c r="W656" s="31">
        <f t="shared" si="276"/>
        <v>0</v>
      </c>
      <c r="X656" s="31"/>
      <c r="Y656" s="32">
        <f t="shared" ref="Y656:Y665" si="286">I656+W656</f>
        <v>0</v>
      </c>
      <c r="Z656" s="32" t="e">
        <f t="shared" si="277"/>
        <v>#DIV/0!</v>
      </c>
    </row>
    <row r="657" spans="3:26" ht="15" hidden="1" outlineLevel="2">
      <c r="C657" s="1486"/>
      <c r="D657" s="1464"/>
      <c r="E657" s="1459"/>
      <c r="F657" s="1462"/>
      <c r="G657" s="339"/>
      <c r="H657" s="335" t="s">
        <v>28</v>
      </c>
      <c r="I657" s="399"/>
      <c r="J657" s="341"/>
      <c r="K657" s="341" t="e">
        <f t="shared" si="281"/>
        <v>#DIV/0!</v>
      </c>
      <c r="L657" s="341">
        <f t="shared" si="282"/>
        <v>0</v>
      </c>
      <c r="M657" s="342"/>
      <c r="N657" s="341"/>
      <c r="O657" s="338">
        <f t="shared" si="258"/>
        <v>0</v>
      </c>
      <c r="P657" s="341"/>
      <c r="Q657" s="431"/>
      <c r="R657" s="28">
        <f t="shared" si="283"/>
        <v>3.5000000000000003E-2</v>
      </c>
      <c r="S657" s="17">
        <f t="shared" si="284"/>
        <v>0</v>
      </c>
      <c r="T657" s="419">
        <f t="shared" si="285"/>
        <v>0</v>
      </c>
      <c r="U657" s="43"/>
      <c r="V657" s="44">
        <f t="shared" si="272"/>
        <v>0</v>
      </c>
      <c r="W657" s="35">
        <f t="shared" si="276"/>
        <v>0</v>
      </c>
      <c r="X657" s="35"/>
      <c r="Y657" s="45">
        <f t="shared" si="286"/>
        <v>0</v>
      </c>
      <c r="Z657" s="45" t="e">
        <f t="shared" si="277"/>
        <v>#DIV/0!</v>
      </c>
    </row>
    <row r="658" spans="3:26" ht="15" hidden="1" outlineLevel="2">
      <c r="C658" s="1486"/>
      <c r="D658" s="1464"/>
      <c r="E658" s="1459"/>
      <c r="F658" s="1462"/>
      <c r="G658" s="339"/>
      <c r="H658" s="335" t="s">
        <v>28</v>
      </c>
      <c r="I658" s="399"/>
      <c r="J658" s="341"/>
      <c r="K658" s="341" t="e">
        <f t="shared" si="281"/>
        <v>#DIV/0!</v>
      </c>
      <c r="L658" s="341">
        <f t="shared" si="282"/>
        <v>0</v>
      </c>
      <c r="M658" s="337"/>
      <c r="N658" s="341"/>
      <c r="O658" s="338">
        <f t="shared" si="258"/>
        <v>0</v>
      </c>
      <c r="P658" s="341"/>
      <c r="Q658" s="431"/>
      <c r="R658" s="28">
        <f t="shared" si="283"/>
        <v>3.5000000000000003E-2</v>
      </c>
      <c r="S658" s="17">
        <f t="shared" si="284"/>
        <v>0</v>
      </c>
      <c r="T658" s="419">
        <f t="shared" si="285"/>
        <v>0</v>
      </c>
      <c r="U658" s="43"/>
      <c r="V658" s="44">
        <f t="shared" si="272"/>
        <v>0</v>
      </c>
      <c r="W658" s="35">
        <f t="shared" si="276"/>
        <v>0</v>
      </c>
      <c r="X658" s="35"/>
      <c r="Y658" s="45">
        <f t="shared" si="286"/>
        <v>0</v>
      </c>
      <c r="Z658" s="45" t="e">
        <f t="shared" si="277"/>
        <v>#DIV/0!</v>
      </c>
    </row>
    <row r="659" spans="3:26" ht="15" hidden="1" outlineLevel="2">
      <c r="C659" s="1486"/>
      <c r="D659" s="1464"/>
      <c r="E659" s="1459"/>
      <c r="F659" s="1462"/>
      <c r="G659" s="339"/>
      <c r="H659" s="335" t="s">
        <v>28</v>
      </c>
      <c r="I659" s="399"/>
      <c r="J659" s="341"/>
      <c r="K659" s="341" t="e">
        <f t="shared" si="281"/>
        <v>#DIV/0!</v>
      </c>
      <c r="L659" s="341">
        <f t="shared" si="282"/>
        <v>0</v>
      </c>
      <c r="M659" s="342"/>
      <c r="N659" s="341"/>
      <c r="O659" s="338">
        <f t="shared" si="258"/>
        <v>0</v>
      </c>
      <c r="P659" s="341"/>
      <c r="Q659" s="431"/>
      <c r="R659" s="28">
        <f t="shared" si="283"/>
        <v>3.5000000000000003E-2</v>
      </c>
      <c r="S659" s="17">
        <f t="shared" si="284"/>
        <v>0</v>
      </c>
      <c r="T659" s="419">
        <f t="shared" si="285"/>
        <v>0</v>
      </c>
      <c r="U659" s="43"/>
      <c r="V659" s="44">
        <f t="shared" si="272"/>
        <v>0</v>
      </c>
      <c r="W659" s="35">
        <f t="shared" si="276"/>
        <v>0</v>
      </c>
      <c r="X659" s="35"/>
      <c r="Y659" s="45">
        <f t="shared" si="286"/>
        <v>0</v>
      </c>
      <c r="Z659" s="45" t="e">
        <f t="shared" si="277"/>
        <v>#DIV/0!</v>
      </c>
    </row>
    <row r="660" spans="3:26" ht="15" hidden="1" outlineLevel="2">
      <c r="C660" s="1486"/>
      <c r="D660" s="1464"/>
      <c r="E660" s="1459"/>
      <c r="F660" s="1462"/>
      <c r="G660" s="339"/>
      <c r="H660" s="335" t="s">
        <v>28</v>
      </c>
      <c r="I660" s="399"/>
      <c r="J660" s="341"/>
      <c r="K660" s="341" t="e">
        <f t="shared" si="281"/>
        <v>#DIV/0!</v>
      </c>
      <c r="L660" s="341">
        <f t="shared" si="282"/>
        <v>0</v>
      </c>
      <c r="M660" s="342"/>
      <c r="N660" s="341"/>
      <c r="O660" s="338">
        <f t="shared" si="258"/>
        <v>0</v>
      </c>
      <c r="P660" s="341"/>
      <c r="Q660" s="431"/>
      <c r="R660" s="28">
        <f t="shared" si="283"/>
        <v>3.5000000000000003E-2</v>
      </c>
      <c r="S660" s="17">
        <f t="shared" si="284"/>
        <v>0</v>
      </c>
      <c r="T660" s="419">
        <f t="shared" si="285"/>
        <v>0</v>
      </c>
      <c r="U660" s="43"/>
      <c r="V660" s="44">
        <f t="shared" si="272"/>
        <v>0</v>
      </c>
      <c r="W660" s="35">
        <f t="shared" si="276"/>
        <v>0</v>
      </c>
      <c r="X660" s="35"/>
      <c r="Y660" s="45">
        <f t="shared" si="286"/>
        <v>0</v>
      </c>
      <c r="Z660" s="45" t="e">
        <f t="shared" si="277"/>
        <v>#DIV/0!</v>
      </c>
    </row>
    <row r="661" spans="3:26" ht="15" hidden="1" outlineLevel="2">
      <c r="C661" s="1486"/>
      <c r="D661" s="1464"/>
      <c r="E661" s="1459"/>
      <c r="F661" s="1462"/>
      <c r="G661" s="339"/>
      <c r="H661" s="335" t="s">
        <v>28</v>
      </c>
      <c r="I661" s="399"/>
      <c r="J661" s="341"/>
      <c r="K661" s="341" t="e">
        <f t="shared" si="281"/>
        <v>#DIV/0!</v>
      </c>
      <c r="L661" s="341">
        <f t="shared" si="282"/>
        <v>0</v>
      </c>
      <c r="M661" s="342"/>
      <c r="N661" s="341"/>
      <c r="O661" s="338">
        <f t="shared" si="258"/>
        <v>0</v>
      </c>
      <c r="P661" s="341"/>
      <c r="Q661" s="431"/>
      <c r="R661" s="28">
        <f t="shared" si="283"/>
        <v>3.5000000000000003E-2</v>
      </c>
      <c r="S661" s="17">
        <f t="shared" si="284"/>
        <v>0</v>
      </c>
      <c r="T661" s="419">
        <f t="shared" si="285"/>
        <v>0</v>
      </c>
      <c r="U661" s="43"/>
      <c r="V661" s="44">
        <f t="shared" si="272"/>
        <v>0</v>
      </c>
      <c r="W661" s="35">
        <f t="shared" si="276"/>
        <v>0</v>
      </c>
      <c r="X661" s="35"/>
      <c r="Y661" s="45">
        <f t="shared" si="286"/>
        <v>0</v>
      </c>
      <c r="Z661" s="45" t="e">
        <f t="shared" si="277"/>
        <v>#DIV/0!</v>
      </c>
    </row>
    <row r="662" spans="3:26" ht="15" hidden="1" outlineLevel="2">
      <c r="C662" s="1486"/>
      <c r="D662" s="1464"/>
      <c r="E662" s="1459"/>
      <c r="F662" s="1462"/>
      <c r="G662" s="339"/>
      <c r="H662" s="335" t="s">
        <v>28</v>
      </c>
      <c r="I662" s="399"/>
      <c r="J662" s="341"/>
      <c r="K662" s="341" t="e">
        <f t="shared" si="281"/>
        <v>#DIV/0!</v>
      </c>
      <c r="L662" s="341">
        <f t="shared" si="282"/>
        <v>0</v>
      </c>
      <c r="M662" s="342"/>
      <c r="N662" s="341"/>
      <c r="O662" s="338">
        <f t="shared" si="258"/>
        <v>0</v>
      </c>
      <c r="P662" s="341"/>
      <c r="Q662" s="431"/>
      <c r="R662" s="28">
        <f t="shared" si="283"/>
        <v>3.5000000000000003E-2</v>
      </c>
      <c r="S662" s="17">
        <f t="shared" si="284"/>
        <v>0</v>
      </c>
      <c r="T662" s="419">
        <f t="shared" si="285"/>
        <v>0</v>
      </c>
      <c r="U662" s="43"/>
      <c r="V662" s="44">
        <f t="shared" si="272"/>
        <v>0</v>
      </c>
      <c r="W662" s="35">
        <f t="shared" si="276"/>
        <v>0</v>
      </c>
      <c r="X662" s="35"/>
      <c r="Y662" s="45">
        <f t="shared" si="286"/>
        <v>0</v>
      </c>
      <c r="Z662" s="45" t="e">
        <f t="shared" si="277"/>
        <v>#DIV/0!</v>
      </c>
    </row>
    <row r="663" spans="3:26" ht="15" hidden="1" outlineLevel="2">
      <c r="C663" s="1486"/>
      <c r="D663" s="1464"/>
      <c r="E663" s="1459"/>
      <c r="F663" s="1462"/>
      <c r="G663" s="339"/>
      <c r="H663" s="335" t="s">
        <v>28</v>
      </c>
      <c r="I663" s="399"/>
      <c r="J663" s="341"/>
      <c r="K663" s="341" t="e">
        <f t="shared" si="281"/>
        <v>#DIV/0!</v>
      </c>
      <c r="L663" s="341">
        <f t="shared" si="282"/>
        <v>0</v>
      </c>
      <c r="M663" s="342"/>
      <c r="N663" s="341"/>
      <c r="O663" s="338">
        <f t="shared" si="258"/>
        <v>0</v>
      </c>
      <c r="P663" s="341"/>
      <c r="Q663" s="431"/>
      <c r="R663" s="28">
        <f t="shared" si="283"/>
        <v>3.5000000000000003E-2</v>
      </c>
      <c r="S663" s="17">
        <f t="shared" si="284"/>
        <v>0</v>
      </c>
      <c r="T663" s="419">
        <f t="shared" si="285"/>
        <v>0</v>
      </c>
      <c r="U663" s="43"/>
      <c r="V663" s="44">
        <f t="shared" si="272"/>
        <v>0</v>
      </c>
      <c r="W663" s="35">
        <f t="shared" si="276"/>
        <v>0</v>
      </c>
      <c r="X663" s="35"/>
      <c r="Y663" s="45">
        <f t="shared" si="286"/>
        <v>0</v>
      </c>
      <c r="Z663" s="45" t="e">
        <f t="shared" si="277"/>
        <v>#DIV/0!</v>
      </c>
    </row>
    <row r="664" spans="3:26" ht="15" hidden="1" outlineLevel="2">
      <c r="C664" s="1486"/>
      <c r="D664" s="1464"/>
      <c r="E664" s="1459"/>
      <c r="F664" s="1462"/>
      <c r="G664" s="384"/>
      <c r="H664" s="335" t="s">
        <v>28</v>
      </c>
      <c r="I664" s="400"/>
      <c r="J664" s="345"/>
      <c r="K664" s="341" t="e">
        <f t="shared" si="281"/>
        <v>#DIV/0!</v>
      </c>
      <c r="L664" s="341">
        <f t="shared" si="282"/>
        <v>0</v>
      </c>
      <c r="M664" s="346"/>
      <c r="N664" s="345"/>
      <c r="O664" s="338">
        <f t="shared" si="258"/>
        <v>0</v>
      </c>
      <c r="P664" s="345"/>
      <c r="Q664" s="432"/>
      <c r="R664" s="28">
        <f t="shared" si="283"/>
        <v>3.5000000000000003E-2</v>
      </c>
      <c r="S664" s="17">
        <f t="shared" si="284"/>
        <v>0</v>
      </c>
      <c r="T664" s="419">
        <f t="shared" si="285"/>
        <v>0</v>
      </c>
      <c r="U664" s="43"/>
      <c r="V664" s="44">
        <f t="shared" si="272"/>
        <v>0</v>
      </c>
      <c r="W664" s="35">
        <f t="shared" si="276"/>
        <v>0</v>
      </c>
      <c r="X664" s="35"/>
      <c r="Y664" s="45">
        <f t="shared" si="286"/>
        <v>0</v>
      </c>
      <c r="Z664" s="45" t="e">
        <f t="shared" si="277"/>
        <v>#DIV/0!</v>
      </c>
    </row>
    <row r="665" spans="3:26" ht="15" hidden="1" outlineLevel="2">
      <c r="C665" s="1486"/>
      <c r="D665" s="1464"/>
      <c r="E665" s="1459"/>
      <c r="F665" s="1462"/>
      <c r="G665" s="339"/>
      <c r="H665" s="335" t="s">
        <v>28</v>
      </c>
      <c r="I665" s="399"/>
      <c r="J665" s="341"/>
      <c r="K665" s="341" t="e">
        <f t="shared" si="281"/>
        <v>#DIV/0!</v>
      </c>
      <c r="L665" s="341">
        <f t="shared" si="282"/>
        <v>0</v>
      </c>
      <c r="M665" s="342"/>
      <c r="N665" s="341"/>
      <c r="O665" s="338">
        <f t="shared" si="258"/>
        <v>0</v>
      </c>
      <c r="P665" s="341"/>
      <c r="Q665" s="431"/>
      <c r="R665" s="28">
        <f t="shared" si="283"/>
        <v>3.5000000000000003E-2</v>
      </c>
      <c r="S665" s="15">
        <f t="shared" si="284"/>
        <v>0</v>
      </c>
      <c r="T665" s="421">
        <f t="shared" si="285"/>
        <v>0</v>
      </c>
      <c r="U665" s="49"/>
      <c r="V665" s="50">
        <f t="shared" si="272"/>
        <v>0</v>
      </c>
      <c r="W665" s="38">
        <f t="shared" si="276"/>
        <v>0</v>
      </c>
      <c r="X665" s="38"/>
      <c r="Y665" s="51">
        <f t="shared" si="286"/>
        <v>0</v>
      </c>
      <c r="Z665" s="51" t="e">
        <f t="shared" si="277"/>
        <v>#DIV/0!</v>
      </c>
    </row>
    <row r="666" spans="3:26" ht="15" hidden="1" outlineLevel="2">
      <c r="C666" s="1486"/>
      <c r="D666" s="1464"/>
      <c r="E666" s="1459"/>
      <c r="F666" s="1462"/>
      <c r="G666" s="1454" t="s">
        <v>51</v>
      </c>
      <c r="H666" s="1455"/>
      <c r="I666" s="417">
        <f>SUM(I656:I665)</f>
        <v>0</v>
      </c>
      <c r="J666" s="371">
        <f t="shared" ref="J666" si="287">SUM(J656:J665)</f>
        <v>0</v>
      </c>
      <c r="K666" s="371">
        <f>SUMIFS(K656:K665,K656:K665,"&lt;&gt;",K656:K665,"&lt;"&amp;99^99)</f>
        <v>0</v>
      </c>
      <c r="L666" s="371">
        <f>SUMIFS(L656:L665,L656:L665,"&lt;&gt;",L656:L665,"&lt;"&amp;99^99)</f>
        <v>0</v>
      </c>
      <c r="M666" s="359"/>
      <c r="N666" s="371">
        <f>N656</f>
        <v>0</v>
      </c>
      <c r="O666" s="367">
        <f t="shared" si="258"/>
        <v>0</v>
      </c>
      <c r="P666" s="371">
        <f t="shared" ref="P666:Q666" si="288">SUM(P656:P665)</f>
        <v>0</v>
      </c>
      <c r="Q666" s="438">
        <f t="shared" si="288"/>
        <v>0</v>
      </c>
      <c r="R666" s="52"/>
      <c r="S666" s="53"/>
      <c r="T666" s="419"/>
      <c r="U666" s="53"/>
      <c r="V666" s="54"/>
      <c r="W666" s="53"/>
      <c r="X666" s="53"/>
      <c r="Y666" s="53"/>
      <c r="Z666" s="53"/>
    </row>
    <row r="667" spans="3:26" ht="15" hidden="1" outlineLevel="2">
      <c r="C667" s="1486"/>
      <c r="D667" s="1464"/>
      <c r="E667" s="1459"/>
      <c r="F667" s="1462"/>
      <c r="G667" s="351"/>
      <c r="H667" s="335" t="s">
        <v>22</v>
      </c>
      <c r="I667" s="398"/>
      <c r="J667" s="336"/>
      <c r="K667" s="341" t="e">
        <f t="shared" ref="K667:L670" si="289">Z667</f>
        <v>#DIV/0!</v>
      </c>
      <c r="L667" s="341">
        <f t="shared" si="289"/>
        <v>0</v>
      </c>
      <c r="M667" s="337"/>
      <c r="N667" s="336"/>
      <c r="O667" s="338">
        <f t="shared" si="258"/>
        <v>0</v>
      </c>
      <c r="P667" s="336"/>
      <c r="Q667" s="430"/>
      <c r="R667" s="28">
        <f t="shared" ref="R667:R676" si="290">IF(H667="USD",$B$4,IF(H667="ILS",$B$2,IF(H667="JOD",$B$3,"")))</f>
        <v>3.5000000000000003E-2</v>
      </c>
      <c r="S667" s="16">
        <f t="shared" ref="S667:S676" si="291">R667*J667</f>
        <v>0</v>
      </c>
      <c r="T667" s="422">
        <f t="shared" ref="T667:T676" si="292">R667*I667</f>
        <v>0</v>
      </c>
      <c r="U667" s="33"/>
      <c r="V667" s="34">
        <f t="shared" si="272"/>
        <v>0</v>
      </c>
      <c r="W667" s="31">
        <f t="shared" si="276"/>
        <v>0</v>
      </c>
      <c r="X667" s="31"/>
      <c r="Y667" s="32">
        <f t="shared" ref="Y667:Y676" si="293">I667+W667</f>
        <v>0</v>
      </c>
      <c r="Z667" s="32" t="e">
        <f t="shared" si="277"/>
        <v>#DIV/0!</v>
      </c>
    </row>
    <row r="668" spans="3:26" ht="15" hidden="1" outlineLevel="2">
      <c r="C668" s="1486"/>
      <c r="D668" s="1464"/>
      <c r="E668" s="1459"/>
      <c r="F668" s="1462"/>
      <c r="G668" s="351"/>
      <c r="H668" s="335" t="s">
        <v>22</v>
      </c>
      <c r="I668" s="399"/>
      <c r="J668" s="341"/>
      <c r="K668" s="341" t="e">
        <f t="shared" si="289"/>
        <v>#DIV/0!</v>
      </c>
      <c r="L668" s="341">
        <f t="shared" si="289"/>
        <v>0</v>
      </c>
      <c r="M668" s="342"/>
      <c r="N668" s="341"/>
      <c r="O668" s="338">
        <f t="shared" si="258"/>
        <v>0</v>
      </c>
      <c r="P668" s="341"/>
      <c r="Q668" s="431"/>
      <c r="R668" s="28">
        <f t="shared" si="290"/>
        <v>3.5000000000000003E-2</v>
      </c>
      <c r="S668" s="17">
        <f t="shared" si="291"/>
        <v>0</v>
      </c>
      <c r="T668" s="419">
        <f t="shared" si="292"/>
        <v>0</v>
      </c>
      <c r="U668" s="43"/>
      <c r="V668" s="44">
        <f t="shared" si="272"/>
        <v>0</v>
      </c>
      <c r="W668" s="35">
        <f t="shared" si="276"/>
        <v>0</v>
      </c>
      <c r="X668" s="35"/>
      <c r="Y668" s="45">
        <f t="shared" si="293"/>
        <v>0</v>
      </c>
      <c r="Z668" s="45" t="e">
        <f t="shared" si="277"/>
        <v>#DIV/0!</v>
      </c>
    </row>
    <row r="669" spans="3:26" ht="15" hidden="1" outlineLevel="2">
      <c r="C669" s="1486"/>
      <c r="D669" s="1464"/>
      <c r="E669" s="1459"/>
      <c r="F669" s="1462"/>
      <c r="G669" s="351"/>
      <c r="H669" s="335" t="s">
        <v>22</v>
      </c>
      <c r="I669" s="399"/>
      <c r="J669" s="341"/>
      <c r="K669" s="341" t="e">
        <f t="shared" si="289"/>
        <v>#DIV/0!</v>
      </c>
      <c r="L669" s="341">
        <f t="shared" si="289"/>
        <v>0</v>
      </c>
      <c r="M669" s="337"/>
      <c r="N669" s="341"/>
      <c r="O669" s="338">
        <f t="shared" si="258"/>
        <v>0</v>
      </c>
      <c r="P669" s="341"/>
      <c r="Q669" s="431"/>
      <c r="R669" s="28">
        <f t="shared" si="290"/>
        <v>3.5000000000000003E-2</v>
      </c>
      <c r="S669" s="17">
        <f t="shared" si="291"/>
        <v>0</v>
      </c>
      <c r="T669" s="419">
        <f t="shared" si="292"/>
        <v>0</v>
      </c>
      <c r="U669" s="43"/>
      <c r="V669" s="44">
        <f t="shared" si="272"/>
        <v>0</v>
      </c>
      <c r="W669" s="35">
        <f t="shared" si="276"/>
        <v>0</v>
      </c>
      <c r="X669" s="35"/>
      <c r="Y669" s="45">
        <f t="shared" si="293"/>
        <v>0</v>
      </c>
      <c r="Z669" s="45" t="e">
        <f t="shared" si="277"/>
        <v>#DIV/0!</v>
      </c>
    </row>
    <row r="670" spans="3:26" ht="15" hidden="1" outlineLevel="2">
      <c r="C670" s="1486"/>
      <c r="D670" s="1464"/>
      <c r="E670" s="1459"/>
      <c r="F670" s="1462"/>
      <c r="G670" s="339"/>
      <c r="H670" s="335" t="s">
        <v>22</v>
      </c>
      <c r="I670" s="399"/>
      <c r="J670" s="341"/>
      <c r="K670" s="341" t="e">
        <f t="shared" si="289"/>
        <v>#DIV/0!</v>
      </c>
      <c r="L670" s="341">
        <f t="shared" si="289"/>
        <v>0</v>
      </c>
      <c r="M670" s="342"/>
      <c r="N670" s="341"/>
      <c r="O670" s="338">
        <f t="shared" si="258"/>
        <v>0</v>
      </c>
      <c r="P670" s="341"/>
      <c r="Q670" s="431"/>
      <c r="R670" s="28">
        <f t="shared" si="290"/>
        <v>3.5000000000000003E-2</v>
      </c>
      <c r="S670" s="17">
        <f t="shared" si="291"/>
        <v>0</v>
      </c>
      <c r="T670" s="419">
        <f t="shared" si="292"/>
        <v>0</v>
      </c>
      <c r="U670" s="43"/>
      <c r="V670" s="44">
        <f t="shared" si="272"/>
        <v>0</v>
      </c>
      <c r="W670" s="35">
        <f t="shared" si="276"/>
        <v>0</v>
      </c>
      <c r="X670" s="35"/>
      <c r="Y670" s="45">
        <f t="shared" si="293"/>
        <v>0</v>
      </c>
      <c r="Z670" s="45" t="e">
        <f t="shared" si="277"/>
        <v>#DIV/0!</v>
      </c>
    </row>
    <row r="671" spans="3:26" ht="15" hidden="1" outlineLevel="2">
      <c r="C671" s="1486"/>
      <c r="D671" s="1464"/>
      <c r="E671" s="1459"/>
      <c r="F671" s="1462"/>
      <c r="G671" s="339"/>
      <c r="H671" s="335" t="s">
        <v>22</v>
      </c>
      <c r="I671" s="399"/>
      <c r="J671" s="341"/>
      <c r="K671" s="341" t="e">
        <f t="shared" ref="K671:L676" si="294">Z671</f>
        <v>#DIV/0!</v>
      </c>
      <c r="L671" s="341">
        <f t="shared" si="294"/>
        <v>0</v>
      </c>
      <c r="M671" s="342"/>
      <c r="N671" s="341"/>
      <c r="O671" s="338">
        <f t="shared" si="258"/>
        <v>0</v>
      </c>
      <c r="P671" s="341"/>
      <c r="Q671" s="431"/>
      <c r="R671" s="28">
        <f t="shared" si="290"/>
        <v>3.5000000000000003E-2</v>
      </c>
      <c r="S671" s="17">
        <f t="shared" si="291"/>
        <v>0</v>
      </c>
      <c r="T671" s="419">
        <f t="shared" si="292"/>
        <v>0</v>
      </c>
      <c r="U671" s="43"/>
      <c r="V671" s="44">
        <f t="shared" si="272"/>
        <v>0</v>
      </c>
      <c r="W671" s="35">
        <f t="shared" si="276"/>
        <v>0</v>
      </c>
      <c r="X671" s="35"/>
      <c r="Y671" s="45">
        <f t="shared" si="293"/>
        <v>0</v>
      </c>
      <c r="Z671" s="45" t="e">
        <f t="shared" si="277"/>
        <v>#DIV/0!</v>
      </c>
    </row>
    <row r="672" spans="3:26" ht="15" hidden="1" outlineLevel="2">
      <c r="C672" s="1486"/>
      <c r="D672" s="1464"/>
      <c r="E672" s="1459"/>
      <c r="F672" s="1462"/>
      <c r="G672" s="339"/>
      <c r="H672" s="335" t="s">
        <v>22</v>
      </c>
      <c r="I672" s="399"/>
      <c r="J672" s="341"/>
      <c r="K672" s="341" t="e">
        <f t="shared" si="294"/>
        <v>#DIV/0!</v>
      </c>
      <c r="L672" s="341">
        <f t="shared" si="294"/>
        <v>0</v>
      </c>
      <c r="M672" s="342"/>
      <c r="N672" s="341"/>
      <c r="O672" s="338">
        <f t="shared" si="258"/>
        <v>0</v>
      </c>
      <c r="P672" s="341"/>
      <c r="Q672" s="431"/>
      <c r="R672" s="28">
        <f t="shared" si="290"/>
        <v>3.5000000000000003E-2</v>
      </c>
      <c r="S672" s="17">
        <f t="shared" si="291"/>
        <v>0</v>
      </c>
      <c r="T672" s="419">
        <f t="shared" si="292"/>
        <v>0</v>
      </c>
      <c r="U672" s="43"/>
      <c r="V672" s="44">
        <f t="shared" si="272"/>
        <v>0</v>
      </c>
      <c r="W672" s="35">
        <f t="shared" si="276"/>
        <v>0</v>
      </c>
      <c r="X672" s="35"/>
      <c r="Y672" s="45">
        <f t="shared" si="293"/>
        <v>0</v>
      </c>
      <c r="Z672" s="45" t="e">
        <f t="shared" si="277"/>
        <v>#DIV/0!</v>
      </c>
    </row>
    <row r="673" spans="3:26" ht="15" hidden="1" outlineLevel="2">
      <c r="C673" s="1486"/>
      <c r="D673" s="1464"/>
      <c r="E673" s="1459"/>
      <c r="F673" s="1462"/>
      <c r="G673" s="339"/>
      <c r="H673" s="335" t="s">
        <v>22</v>
      </c>
      <c r="I673" s="399"/>
      <c r="J673" s="341"/>
      <c r="K673" s="341" t="e">
        <f t="shared" si="294"/>
        <v>#DIV/0!</v>
      </c>
      <c r="L673" s="341">
        <f t="shared" si="294"/>
        <v>0</v>
      </c>
      <c r="M673" s="342"/>
      <c r="N673" s="341"/>
      <c r="O673" s="338">
        <f t="shared" si="258"/>
        <v>0</v>
      </c>
      <c r="P673" s="341"/>
      <c r="Q673" s="431"/>
      <c r="R673" s="28">
        <f t="shared" si="290"/>
        <v>3.5000000000000003E-2</v>
      </c>
      <c r="S673" s="17">
        <f t="shared" si="291"/>
        <v>0</v>
      </c>
      <c r="T673" s="419">
        <f t="shared" si="292"/>
        <v>0</v>
      </c>
      <c r="U673" s="43"/>
      <c r="V673" s="44">
        <f t="shared" si="272"/>
        <v>0</v>
      </c>
      <c r="W673" s="35">
        <f t="shared" si="276"/>
        <v>0</v>
      </c>
      <c r="X673" s="35"/>
      <c r="Y673" s="45">
        <f t="shared" si="293"/>
        <v>0</v>
      </c>
      <c r="Z673" s="45" t="e">
        <f t="shared" si="277"/>
        <v>#DIV/0!</v>
      </c>
    </row>
    <row r="674" spans="3:26" ht="15" hidden="1" outlineLevel="2">
      <c r="C674" s="1486"/>
      <c r="D674" s="1464"/>
      <c r="E674" s="1459"/>
      <c r="F674" s="1462"/>
      <c r="G674" s="339"/>
      <c r="H674" s="335" t="s">
        <v>22</v>
      </c>
      <c r="I674" s="399"/>
      <c r="J674" s="341"/>
      <c r="K674" s="341" t="e">
        <f t="shared" si="294"/>
        <v>#DIV/0!</v>
      </c>
      <c r="L674" s="341">
        <f t="shared" si="294"/>
        <v>0</v>
      </c>
      <c r="M674" s="342"/>
      <c r="N674" s="341"/>
      <c r="O674" s="338">
        <f t="shared" si="258"/>
        <v>0</v>
      </c>
      <c r="P674" s="341"/>
      <c r="Q674" s="431"/>
      <c r="R674" s="28">
        <f t="shared" si="290"/>
        <v>3.5000000000000003E-2</v>
      </c>
      <c r="S674" s="17">
        <f t="shared" si="291"/>
        <v>0</v>
      </c>
      <c r="T674" s="419">
        <f t="shared" si="292"/>
        <v>0</v>
      </c>
      <c r="U674" s="43"/>
      <c r="V674" s="44">
        <f t="shared" si="272"/>
        <v>0</v>
      </c>
      <c r="W674" s="35">
        <f t="shared" si="276"/>
        <v>0</v>
      </c>
      <c r="X674" s="35"/>
      <c r="Y674" s="45">
        <f t="shared" si="293"/>
        <v>0</v>
      </c>
      <c r="Z674" s="45" t="e">
        <f t="shared" si="277"/>
        <v>#DIV/0!</v>
      </c>
    </row>
    <row r="675" spans="3:26" ht="15" hidden="1" outlineLevel="2">
      <c r="C675" s="1486"/>
      <c r="D675" s="1464"/>
      <c r="E675" s="1459"/>
      <c r="F675" s="1462"/>
      <c r="G675" s="384"/>
      <c r="H675" s="335" t="s">
        <v>22</v>
      </c>
      <c r="I675" s="400"/>
      <c r="J675" s="345"/>
      <c r="K675" s="341" t="e">
        <f t="shared" si="294"/>
        <v>#DIV/0!</v>
      </c>
      <c r="L675" s="341">
        <f t="shared" si="294"/>
        <v>0</v>
      </c>
      <c r="M675" s="346"/>
      <c r="N675" s="345"/>
      <c r="O675" s="338">
        <f t="shared" si="258"/>
        <v>0</v>
      </c>
      <c r="P675" s="345"/>
      <c r="Q675" s="432"/>
      <c r="R675" s="28">
        <f t="shared" si="290"/>
        <v>3.5000000000000003E-2</v>
      </c>
      <c r="S675" s="17">
        <f t="shared" si="291"/>
        <v>0</v>
      </c>
      <c r="T675" s="419">
        <f t="shared" si="292"/>
        <v>0</v>
      </c>
      <c r="U675" s="43"/>
      <c r="V675" s="44">
        <f t="shared" si="272"/>
        <v>0</v>
      </c>
      <c r="W675" s="35">
        <f t="shared" si="276"/>
        <v>0</v>
      </c>
      <c r="X675" s="35"/>
      <c r="Y675" s="45">
        <f t="shared" si="293"/>
        <v>0</v>
      </c>
      <c r="Z675" s="45" t="e">
        <f t="shared" si="277"/>
        <v>#DIV/0!</v>
      </c>
    </row>
    <row r="676" spans="3:26" ht="15" hidden="1" outlineLevel="2">
      <c r="C676" s="1486"/>
      <c r="D676" s="1464"/>
      <c r="E676" s="1459"/>
      <c r="F676" s="1462"/>
      <c r="G676" s="339"/>
      <c r="H676" s="335" t="s">
        <v>22</v>
      </c>
      <c r="I676" s="399"/>
      <c r="J676" s="341"/>
      <c r="K676" s="341" t="e">
        <f t="shared" si="294"/>
        <v>#DIV/0!</v>
      </c>
      <c r="L676" s="341">
        <f t="shared" si="294"/>
        <v>0</v>
      </c>
      <c r="M676" s="342"/>
      <c r="N676" s="341"/>
      <c r="O676" s="338">
        <f t="shared" si="258"/>
        <v>0</v>
      </c>
      <c r="P676" s="341"/>
      <c r="Q676" s="431"/>
      <c r="R676" s="28">
        <f t="shared" si="290"/>
        <v>3.5000000000000003E-2</v>
      </c>
      <c r="S676" s="17">
        <f t="shared" si="291"/>
        <v>0</v>
      </c>
      <c r="T676" s="419">
        <f t="shared" si="292"/>
        <v>0</v>
      </c>
      <c r="U676" s="43"/>
      <c r="V676" s="44">
        <f t="shared" si="272"/>
        <v>0</v>
      </c>
      <c r="W676" s="35">
        <f t="shared" si="276"/>
        <v>0</v>
      </c>
      <c r="X676" s="35"/>
      <c r="Y676" s="45">
        <f t="shared" si="293"/>
        <v>0</v>
      </c>
      <c r="Z676" s="45" t="e">
        <f t="shared" si="277"/>
        <v>#DIV/0!</v>
      </c>
    </row>
    <row r="677" spans="3:26" ht="15" hidden="1" outlineLevel="2">
      <c r="C677" s="1486"/>
      <c r="D677" s="1464"/>
      <c r="E677" s="1459"/>
      <c r="F677" s="1462"/>
      <c r="G677" s="371"/>
      <c r="H677" s="371"/>
      <c r="I677" s="371">
        <f t="shared" ref="I677:J677" si="295">SUM(I667:I676)</f>
        <v>0</v>
      </c>
      <c r="J677" s="371">
        <f t="shared" si="295"/>
        <v>0</v>
      </c>
      <c r="K677" s="371">
        <f>SUMIFS(K667:K676,K667:K676,"&lt;&gt;",K667:K676,"&lt;"&amp;99^99)</f>
        <v>0</v>
      </c>
      <c r="L677" s="371">
        <f>SUMIFS(L667:L676,L667:L676,"&lt;&gt;",L667:L676,"&lt;"&amp;99^99)</f>
        <v>0</v>
      </c>
      <c r="M677" s="359"/>
      <c r="N677" s="371">
        <f>N667</f>
        <v>0</v>
      </c>
      <c r="O677" s="367">
        <f t="shared" si="258"/>
        <v>0</v>
      </c>
      <c r="P677" s="371">
        <f t="shared" ref="P677:Q677" si="296">SUM(P667:P676)</f>
        <v>0</v>
      </c>
      <c r="Q677" s="438">
        <f t="shared" si="296"/>
        <v>0</v>
      </c>
      <c r="T677" s="418"/>
    </row>
    <row r="678" spans="3:26" ht="15.75" hidden="1" outlineLevel="1" collapsed="1" thickTop="1">
      <c r="C678" s="1486"/>
      <c r="D678" s="1464"/>
      <c r="E678" s="1459"/>
      <c r="F678" s="1463"/>
      <c r="G678" s="1454" t="s">
        <v>177</v>
      </c>
      <c r="H678" s="1475"/>
      <c r="I678" s="371">
        <f>(I655/usdrate)+(I666*jodrate)+I677</f>
        <v>0</v>
      </c>
      <c r="J678" s="371">
        <f>(J655/usdrate)+(J666*jodrate)+J677</f>
        <v>0</v>
      </c>
      <c r="K678" s="371">
        <f>(K655/usdrate)+(K666*jodrate)+K677</f>
        <v>0</v>
      </c>
      <c r="L678" s="371">
        <f>(L655/usdrate)+(L666*jodrate)+L677</f>
        <v>0</v>
      </c>
      <c r="M678" s="359"/>
      <c r="N678" s="371">
        <f>(N655/usdrate)+(N666*jodrate)+N677</f>
        <v>0</v>
      </c>
      <c r="O678" s="367">
        <f t="shared" si="258"/>
        <v>0</v>
      </c>
      <c r="P678" s="371">
        <f>(P655/usdrate)+(P666*jodrate)+P677</f>
        <v>0</v>
      </c>
      <c r="Q678" s="438">
        <f>(Q655/usdrate)+(Q666*jodrate)+Q677</f>
        <v>0</v>
      </c>
      <c r="T678" s="418"/>
    </row>
    <row r="679" spans="3:26" ht="15" hidden="1" outlineLevel="2">
      <c r="C679" s="1486"/>
      <c r="D679" s="1464"/>
      <c r="E679" s="1459"/>
      <c r="F679" s="1461" t="s">
        <v>170</v>
      </c>
      <c r="G679" s="351"/>
      <c r="H679" s="335" t="s">
        <v>4</v>
      </c>
      <c r="I679" s="398"/>
      <c r="J679" s="336"/>
      <c r="K679" s="401">
        <f>I679*0.01/12</f>
        <v>0</v>
      </c>
      <c r="L679" s="401">
        <f>J679*0.01/12</f>
        <v>0</v>
      </c>
      <c r="M679" s="337"/>
      <c r="N679" s="336"/>
      <c r="O679" s="338">
        <f t="shared" si="258"/>
        <v>0</v>
      </c>
      <c r="P679" s="336"/>
      <c r="Q679" s="430"/>
      <c r="T679" s="418"/>
    </row>
    <row r="680" spans="3:26" ht="15" hidden="1" outlineLevel="2">
      <c r="C680" s="1486"/>
      <c r="D680" s="1464"/>
      <c r="E680" s="1459"/>
      <c r="F680" s="1462"/>
      <c r="G680" s="339"/>
      <c r="H680" s="335" t="s">
        <v>4</v>
      </c>
      <c r="I680" s="399"/>
      <c r="J680" s="341"/>
      <c r="K680" s="341">
        <f>I680*0.03/12</f>
        <v>0</v>
      </c>
      <c r="L680" s="341">
        <f>J680*0.03/12</f>
        <v>0</v>
      </c>
      <c r="M680" s="342"/>
      <c r="N680" s="341">
        <v>0</v>
      </c>
      <c r="O680" s="338">
        <f t="shared" si="258"/>
        <v>0</v>
      </c>
      <c r="P680" s="341"/>
      <c r="Q680" s="431"/>
      <c r="T680" s="418"/>
    </row>
    <row r="681" spans="3:26" ht="15" hidden="1" outlineLevel="2">
      <c r="C681" s="1486"/>
      <c r="D681" s="1464"/>
      <c r="E681" s="1459"/>
      <c r="F681" s="1462"/>
      <c r="G681" s="339"/>
      <c r="H681" s="335" t="s">
        <v>4</v>
      </c>
      <c r="I681" s="399"/>
      <c r="J681" s="341"/>
      <c r="K681" s="341">
        <f>I681*0.01/12</f>
        <v>0</v>
      </c>
      <c r="L681" s="341">
        <f>J681*0.01/12</f>
        <v>0</v>
      </c>
      <c r="M681" s="337"/>
      <c r="N681" s="341"/>
      <c r="O681" s="338">
        <f t="shared" si="258"/>
        <v>0</v>
      </c>
      <c r="P681" s="341"/>
      <c r="Q681" s="431"/>
      <c r="T681" s="418"/>
    </row>
    <row r="682" spans="3:26" ht="15" hidden="1" outlineLevel="2">
      <c r="C682" s="1486"/>
      <c r="D682" s="1464"/>
      <c r="E682" s="1459"/>
      <c r="F682" s="1462"/>
      <c r="G682" s="339"/>
      <c r="H682" s="335" t="s">
        <v>4</v>
      </c>
      <c r="I682" s="399"/>
      <c r="J682" s="341"/>
      <c r="K682" s="341"/>
      <c r="L682" s="341"/>
      <c r="M682" s="342"/>
      <c r="N682" s="341"/>
      <c r="O682" s="338">
        <f t="shared" si="258"/>
        <v>0</v>
      </c>
      <c r="P682" s="341"/>
      <c r="Q682" s="431"/>
      <c r="T682" s="418"/>
    </row>
    <row r="683" spans="3:26" ht="15" hidden="1" outlineLevel="2">
      <c r="C683" s="1486"/>
      <c r="D683" s="1464"/>
      <c r="E683" s="1459"/>
      <c r="F683" s="1462"/>
      <c r="G683" s="339"/>
      <c r="H683" s="335" t="s">
        <v>4</v>
      </c>
      <c r="I683" s="399"/>
      <c r="J683" s="341"/>
      <c r="K683" s="341"/>
      <c r="L683" s="341"/>
      <c r="M683" s="342"/>
      <c r="N683" s="341"/>
      <c r="O683" s="338">
        <f t="shared" si="258"/>
        <v>0</v>
      </c>
      <c r="P683" s="341"/>
      <c r="Q683" s="431"/>
      <c r="T683" s="418"/>
    </row>
    <row r="684" spans="3:26" ht="15" hidden="1" outlineLevel="2">
      <c r="C684" s="1486"/>
      <c r="D684" s="1464"/>
      <c r="E684" s="1459"/>
      <c r="F684" s="1462"/>
      <c r="G684" s="339"/>
      <c r="H684" s="335" t="s">
        <v>4</v>
      </c>
      <c r="I684" s="399"/>
      <c r="J684" s="341"/>
      <c r="K684" s="341"/>
      <c r="L684" s="341"/>
      <c r="M684" s="342"/>
      <c r="N684" s="341"/>
      <c r="O684" s="338">
        <f t="shared" si="258"/>
        <v>0</v>
      </c>
      <c r="P684" s="341"/>
      <c r="Q684" s="431"/>
      <c r="T684" s="418"/>
    </row>
    <row r="685" spans="3:26" ht="15" hidden="1" outlineLevel="2">
      <c r="C685" s="1486"/>
      <c r="D685" s="1464"/>
      <c r="E685" s="1459"/>
      <c r="F685" s="1462"/>
      <c r="G685" s="339"/>
      <c r="H685" s="335" t="s">
        <v>4</v>
      </c>
      <c r="I685" s="399"/>
      <c r="J685" s="341"/>
      <c r="K685" s="341"/>
      <c r="L685" s="341"/>
      <c r="M685" s="342"/>
      <c r="N685" s="341"/>
      <c r="O685" s="338">
        <f t="shared" si="258"/>
        <v>0</v>
      </c>
      <c r="P685" s="341"/>
      <c r="Q685" s="431"/>
      <c r="T685" s="418"/>
    </row>
    <row r="686" spans="3:26" ht="15" hidden="1" outlineLevel="2">
      <c r="C686" s="1486"/>
      <c r="D686" s="1464"/>
      <c r="E686" s="1459"/>
      <c r="F686" s="1462"/>
      <c r="G686" s="339"/>
      <c r="H686" s="335" t="s">
        <v>4</v>
      </c>
      <c r="I686" s="399"/>
      <c r="J686" s="341"/>
      <c r="K686" s="341"/>
      <c r="L686" s="341"/>
      <c r="M686" s="342"/>
      <c r="N686" s="341"/>
      <c r="O686" s="338">
        <f t="shared" si="258"/>
        <v>0</v>
      </c>
      <c r="P686" s="341"/>
      <c r="Q686" s="431"/>
      <c r="T686" s="418"/>
    </row>
    <row r="687" spans="3:26" ht="15" hidden="1" outlineLevel="2">
      <c r="C687" s="1486"/>
      <c r="D687" s="1464"/>
      <c r="E687" s="1459"/>
      <c r="F687" s="1462"/>
      <c r="G687" s="384"/>
      <c r="H687" s="335" t="s">
        <v>4</v>
      </c>
      <c r="I687" s="400"/>
      <c r="J687" s="345"/>
      <c r="K687" s="345"/>
      <c r="L687" s="345"/>
      <c r="M687" s="346"/>
      <c r="N687" s="345"/>
      <c r="O687" s="338">
        <f t="shared" si="258"/>
        <v>0</v>
      </c>
      <c r="P687" s="345"/>
      <c r="Q687" s="432"/>
      <c r="T687" s="418"/>
    </row>
    <row r="688" spans="3:26" ht="15" hidden="1" outlineLevel="2">
      <c r="C688" s="1486"/>
      <c r="D688" s="1464"/>
      <c r="E688" s="1459"/>
      <c r="F688" s="1462"/>
      <c r="G688" s="339"/>
      <c r="H688" s="335" t="s">
        <v>4</v>
      </c>
      <c r="I688" s="399"/>
      <c r="J688" s="341"/>
      <c r="K688" s="341"/>
      <c r="L688" s="341"/>
      <c r="M688" s="342"/>
      <c r="N688" s="341"/>
      <c r="O688" s="338">
        <f t="shared" si="258"/>
        <v>0</v>
      </c>
      <c r="P688" s="341"/>
      <c r="Q688" s="431"/>
      <c r="T688" s="418"/>
    </row>
    <row r="689" spans="3:20" ht="15" hidden="1" outlineLevel="2">
      <c r="C689" s="1486"/>
      <c r="D689" s="1464"/>
      <c r="E689" s="1459"/>
      <c r="F689" s="1462"/>
      <c r="G689" s="1454" t="s">
        <v>45</v>
      </c>
      <c r="H689" s="1455"/>
      <c r="I689" s="371">
        <f>SUM(I679:I688)</f>
        <v>0</v>
      </c>
      <c r="J689" s="371">
        <f t="shared" ref="J689:K689" si="297">SUM(J679:J688)</f>
        <v>0</v>
      </c>
      <c r="K689" s="371">
        <f t="shared" si="297"/>
        <v>0</v>
      </c>
      <c r="L689" s="371">
        <f t="shared" ref="L689" si="298">SUM(L679:L688)</f>
        <v>0</v>
      </c>
      <c r="M689" s="359"/>
      <c r="N689" s="371">
        <f>N679</f>
        <v>0</v>
      </c>
      <c r="O689" s="367">
        <f t="shared" si="258"/>
        <v>0</v>
      </c>
      <c r="P689" s="371">
        <f t="shared" ref="P689:Q689" si="299">SUM(P679:P688)</f>
        <v>0</v>
      </c>
      <c r="Q689" s="438">
        <f t="shared" si="299"/>
        <v>0</v>
      </c>
      <c r="T689" s="418"/>
    </row>
    <row r="690" spans="3:20" ht="15" hidden="1" outlineLevel="2">
      <c r="C690" s="1486"/>
      <c r="D690" s="1464"/>
      <c r="E690" s="1459"/>
      <c r="F690" s="1462"/>
      <c r="G690" s="351"/>
      <c r="H690" s="335" t="s">
        <v>28</v>
      </c>
      <c r="I690" s="398"/>
      <c r="J690" s="336"/>
      <c r="K690" s="336">
        <f>I690*0.03/12</f>
        <v>0</v>
      </c>
      <c r="L690" s="336">
        <f>J690*0.03/12</f>
        <v>0</v>
      </c>
      <c r="M690" s="337"/>
      <c r="N690" s="336"/>
      <c r="O690" s="338">
        <f t="shared" si="258"/>
        <v>0</v>
      </c>
      <c r="P690" s="336"/>
      <c r="Q690" s="430"/>
      <c r="T690" s="418"/>
    </row>
    <row r="691" spans="3:20" ht="15" hidden="1" outlineLevel="2">
      <c r="C691" s="1486"/>
      <c r="D691" s="1464"/>
      <c r="E691" s="1459"/>
      <c r="F691" s="1462"/>
      <c r="G691" s="339"/>
      <c r="H691" s="335" t="s">
        <v>28</v>
      </c>
      <c r="I691" s="341"/>
      <c r="J691" s="341"/>
      <c r="K691" s="341"/>
      <c r="L691" s="341"/>
      <c r="M691" s="342"/>
      <c r="N691" s="341"/>
      <c r="O691" s="338">
        <f t="shared" si="258"/>
        <v>0</v>
      </c>
      <c r="P691" s="341"/>
      <c r="Q691" s="431"/>
      <c r="T691" s="418"/>
    </row>
    <row r="692" spans="3:20" ht="15" hidden="1" outlineLevel="2">
      <c r="C692" s="1486"/>
      <c r="D692" s="1464"/>
      <c r="E692" s="1459"/>
      <c r="F692" s="1462"/>
      <c r="G692" s="339"/>
      <c r="H692" s="335" t="s">
        <v>28</v>
      </c>
      <c r="I692" s="341"/>
      <c r="J692" s="341"/>
      <c r="K692" s="341"/>
      <c r="L692" s="341"/>
      <c r="M692" s="337"/>
      <c r="N692" s="341"/>
      <c r="O692" s="338">
        <f t="shared" si="258"/>
        <v>0</v>
      </c>
      <c r="P692" s="341"/>
      <c r="Q692" s="431"/>
      <c r="T692" s="418"/>
    </row>
    <row r="693" spans="3:20" ht="15" hidden="1" outlineLevel="2">
      <c r="C693" s="1486"/>
      <c r="D693" s="1464"/>
      <c r="E693" s="1459"/>
      <c r="F693" s="1462"/>
      <c r="G693" s="339"/>
      <c r="H693" s="335" t="s">
        <v>28</v>
      </c>
      <c r="I693" s="341"/>
      <c r="J693" s="341"/>
      <c r="K693" s="341"/>
      <c r="L693" s="341"/>
      <c r="M693" s="342"/>
      <c r="N693" s="341"/>
      <c r="O693" s="338">
        <f t="shared" si="258"/>
        <v>0</v>
      </c>
      <c r="P693" s="341"/>
      <c r="Q693" s="431"/>
      <c r="T693" s="418"/>
    </row>
    <row r="694" spans="3:20" ht="15" hidden="1" outlineLevel="2">
      <c r="C694" s="1486"/>
      <c r="D694" s="1464"/>
      <c r="E694" s="1459"/>
      <c r="F694" s="1462"/>
      <c r="G694" s="339"/>
      <c r="H694" s="335" t="s">
        <v>28</v>
      </c>
      <c r="I694" s="341"/>
      <c r="J694" s="341"/>
      <c r="K694" s="341"/>
      <c r="L694" s="341"/>
      <c r="M694" s="342"/>
      <c r="N694" s="341"/>
      <c r="O694" s="338">
        <f t="shared" si="258"/>
        <v>0</v>
      </c>
      <c r="P694" s="341"/>
      <c r="Q694" s="431"/>
      <c r="T694" s="418"/>
    </row>
    <row r="695" spans="3:20" ht="15" hidden="1" outlineLevel="2">
      <c r="C695" s="1486"/>
      <c r="D695" s="1464"/>
      <c r="E695" s="1459"/>
      <c r="F695" s="1462"/>
      <c r="G695" s="339"/>
      <c r="H695" s="335" t="s">
        <v>28</v>
      </c>
      <c r="I695" s="341"/>
      <c r="J695" s="341"/>
      <c r="K695" s="341"/>
      <c r="L695" s="341"/>
      <c r="M695" s="342"/>
      <c r="N695" s="341"/>
      <c r="O695" s="338">
        <f t="shared" si="258"/>
        <v>0</v>
      </c>
      <c r="P695" s="341"/>
      <c r="Q695" s="431"/>
      <c r="T695" s="418"/>
    </row>
    <row r="696" spans="3:20" ht="15" hidden="1" outlineLevel="2">
      <c r="C696" s="1486"/>
      <c r="D696" s="1464"/>
      <c r="E696" s="1459"/>
      <c r="F696" s="1462"/>
      <c r="G696" s="339"/>
      <c r="H696" s="335" t="s">
        <v>28</v>
      </c>
      <c r="I696" s="341"/>
      <c r="J696" s="341"/>
      <c r="K696" s="341"/>
      <c r="L696" s="341"/>
      <c r="M696" s="342"/>
      <c r="N696" s="341"/>
      <c r="O696" s="338">
        <f t="shared" si="258"/>
        <v>0</v>
      </c>
      <c r="P696" s="341"/>
      <c r="Q696" s="431"/>
      <c r="T696" s="418"/>
    </row>
    <row r="697" spans="3:20" ht="15" hidden="1" outlineLevel="2">
      <c r="C697" s="1486"/>
      <c r="D697" s="1464"/>
      <c r="E697" s="1459"/>
      <c r="F697" s="1462"/>
      <c r="G697" s="339"/>
      <c r="H697" s="335" t="s">
        <v>28</v>
      </c>
      <c r="I697" s="341"/>
      <c r="J697" s="341"/>
      <c r="K697" s="341"/>
      <c r="L697" s="341"/>
      <c r="M697" s="342"/>
      <c r="N697" s="341"/>
      <c r="O697" s="338">
        <f t="shared" si="258"/>
        <v>0</v>
      </c>
      <c r="P697" s="341"/>
      <c r="Q697" s="431"/>
      <c r="T697" s="418"/>
    </row>
    <row r="698" spans="3:20" ht="15" hidden="1" outlineLevel="2">
      <c r="C698" s="1486"/>
      <c r="D698" s="1464"/>
      <c r="E698" s="1459"/>
      <c r="F698" s="1462"/>
      <c r="G698" s="384"/>
      <c r="H698" s="335" t="s">
        <v>28</v>
      </c>
      <c r="I698" s="345"/>
      <c r="J698" s="345"/>
      <c r="K698" s="345"/>
      <c r="L698" s="345"/>
      <c r="M698" s="346"/>
      <c r="N698" s="345"/>
      <c r="O698" s="338">
        <f t="shared" si="258"/>
        <v>0</v>
      </c>
      <c r="P698" s="345"/>
      <c r="Q698" s="432"/>
      <c r="T698" s="418"/>
    </row>
    <row r="699" spans="3:20" ht="15" hidden="1" outlineLevel="2">
      <c r="C699" s="1486"/>
      <c r="D699" s="1464"/>
      <c r="E699" s="1459"/>
      <c r="F699" s="1462"/>
      <c r="G699" s="339"/>
      <c r="H699" s="335" t="s">
        <v>28</v>
      </c>
      <c r="I699" s="341"/>
      <c r="J699" s="341"/>
      <c r="K699" s="341"/>
      <c r="L699" s="341"/>
      <c r="M699" s="342"/>
      <c r="N699" s="341"/>
      <c r="O699" s="338">
        <f t="shared" si="258"/>
        <v>0</v>
      </c>
      <c r="P699" s="341"/>
      <c r="Q699" s="431"/>
      <c r="T699" s="418"/>
    </row>
    <row r="700" spans="3:20" ht="15" hidden="1" outlineLevel="2">
      <c r="C700" s="1486"/>
      <c r="D700" s="1464"/>
      <c r="E700" s="1459"/>
      <c r="F700" s="1462"/>
      <c r="G700" s="1454" t="s">
        <v>51</v>
      </c>
      <c r="H700" s="1455"/>
      <c r="I700" s="371">
        <f>SUM(I690:I699)</f>
        <v>0</v>
      </c>
      <c r="J700" s="371">
        <f t="shared" ref="J700:K700" si="300">SUM(J690:J699)</f>
        <v>0</v>
      </c>
      <c r="K700" s="371">
        <f t="shared" si="300"/>
        <v>0</v>
      </c>
      <c r="L700" s="371">
        <f t="shared" ref="L700" si="301">SUM(L690:L699)</f>
        <v>0</v>
      </c>
      <c r="M700" s="359"/>
      <c r="N700" s="371">
        <f>N690</f>
        <v>0</v>
      </c>
      <c r="O700" s="367">
        <f t="shared" si="258"/>
        <v>0</v>
      </c>
      <c r="P700" s="371">
        <f t="shared" ref="P700:Q700" si="302">SUM(P690:P699)</f>
        <v>0</v>
      </c>
      <c r="Q700" s="438">
        <f t="shared" si="302"/>
        <v>0</v>
      </c>
      <c r="T700" s="418"/>
    </row>
    <row r="701" spans="3:20" ht="15" hidden="1" outlineLevel="2">
      <c r="C701" s="1486"/>
      <c r="D701" s="1464"/>
      <c r="E701" s="1459"/>
      <c r="F701" s="1462"/>
      <c r="G701" s="351"/>
      <c r="H701" s="335" t="s">
        <v>22</v>
      </c>
      <c r="I701" s="336"/>
      <c r="J701" s="336"/>
      <c r="K701" s="336"/>
      <c r="L701" s="336"/>
      <c r="M701" s="337"/>
      <c r="N701" s="336"/>
      <c r="O701" s="338">
        <f t="shared" si="258"/>
        <v>0</v>
      </c>
      <c r="P701" s="336"/>
      <c r="Q701" s="430"/>
      <c r="T701" s="418"/>
    </row>
    <row r="702" spans="3:20" ht="15" hidden="1" outlineLevel="2">
      <c r="C702" s="1486"/>
      <c r="D702" s="1464"/>
      <c r="E702" s="1459"/>
      <c r="F702" s="1462"/>
      <c r="G702" s="339"/>
      <c r="H702" s="335" t="s">
        <v>22</v>
      </c>
      <c r="I702" s="341"/>
      <c r="J702" s="341"/>
      <c r="K702" s="341"/>
      <c r="L702" s="341"/>
      <c r="M702" s="342"/>
      <c r="N702" s="341"/>
      <c r="O702" s="338">
        <f t="shared" si="258"/>
        <v>0</v>
      </c>
      <c r="P702" s="341"/>
      <c r="Q702" s="431"/>
      <c r="T702" s="418"/>
    </row>
    <row r="703" spans="3:20" ht="15" hidden="1" outlineLevel="2">
      <c r="C703" s="1486"/>
      <c r="D703" s="1464"/>
      <c r="E703" s="1459"/>
      <c r="F703" s="1462"/>
      <c r="G703" s="339"/>
      <c r="H703" s="335" t="s">
        <v>22</v>
      </c>
      <c r="I703" s="341"/>
      <c r="J703" s="341"/>
      <c r="K703" s="341"/>
      <c r="L703" s="341"/>
      <c r="M703" s="337"/>
      <c r="N703" s="341"/>
      <c r="O703" s="338">
        <f t="shared" si="258"/>
        <v>0</v>
      </c>
      <c r="P703" s="341"/>
      <c r="Q703" s="431"/>
      <c r="T703" s="418"/>
    </row>
    <row r="704" spans="3:20" ht="15" hidden="1" outlineLevel="2">
      <c r="C704" s="1486"/>
      <c r="D704" s="1464"/>
      <c r="E704" s="1459"/>
      <c r="F704" s="1462"/>
      <c r="G704" s="339"/>
      <c r="H704" s="335" t="s">
        <v>22</v>
      </c>
      <c r="I704" s="341"/>
      <c r="J704" s="341"/>
      <c r="K704" s="341"/>
      <c r="L704" s="341"/>
      <c r="M704" s="342"/>
      <c r="N704" s="341"/>
      <c r="O704" s="338">
        <f t="shared" ref="O704:O767" si="303">IF(N704=0,0,N704/J704)</f>
        <v>0</v>
      </c>
      <c r="P704" s="341"/>
      <c r="Q704" s="431"/>
      <c r="T704" s="418"/>
    </row>
    <row r="705" spans="3:20" ht="15" hidden="1" outlineLevel="2">
      <c r="C705" s="1486"/>
      <c r="D705" s="1464"/>
      <c r="E705" s="1459"/>
      <c r="F705" s="1462"/>
      <c r="G705" s="339"/>
      <c r="H705" s="335" t="s">
        <v>22</v>
      </c>
      <c r="I705" s="341"/>
      <c r="J705" s="341"/>
      <c r="K705" s="341"/>
      <c r="L705" s="341"/>
      <c r="M705" s="342"/>
      <c r="N705" s="341"/>
      <c r="O705" s="338">
        <f t="shared" si="303"/>
        <v>0</v>
      </c>
      <c r="P705" s="341"/>
      <c r="Q705" s="431"/>
      <c r="T705" s="418"/>
    </row>
    <row r="706" spans="3:20" ht="15" hidden="1" outlineLevel="2">
      <c r="C706" s="1486"/>
      <c r="D706" s="1464"/>
      <c r="E706" s="1459"/>
      <c r="F706" s="1462"/>
      <c r="G706" s="339"/>
      <c r="H706" s="335" t="s">
        <v>22</v>
      </c>
      <c r="I706" s="341"/>
      <c r="J706" s="341"/>
      <c r="K706" s="341"/>
      <c r="L706" s="341"/>
      <c r="M706" s="342"/>
      <c r="N706" s="341"/>
      <c r="O706" s="338">
        <f t="shared" si="303"/>
        <v>0</v>
      </c>
      <c r="P706" s="341"/>
      <c r="Q706" s="431"/>
      <c r="T706" s="418"/>
    </row>
    <row r="707" spans="3:20" ht="15" hidden="1" outlineLevel="2">
      <c r="C707" s="1486"/>
      <c r="D707" s="1464"/>
      <c r="E707" s="1459"/>
      <c r="F707" s="1462"/>
      <c r="G707" s="339"/>
      <c r="H707" s="335" t="s">
        <v>22</v>
      </c>
      <c r="I707" s="341"/>
      <c r="J707" s="341"/>
      <c r="K707" s="341"/>
      <c r="L707" s="341"/>
      <c r="M707" s="342"/>
      <c r="N707" s="341"/>
      <c r="O707" s="338">
        <f t="shared" si="303"/>
        <v>0</v>
      </c>
      <c r="P707" s="341"/>
      <c r="Q707" s="431"/>
      <c r="T707" s="418"/>
    </row>
    <row r="708" spans="3:20" ht="15" hidden="1" outlineLevel="2">
      <c r="C708" s="1486"/>
      <c r="D708" s="1464"/>
      <c r="E708" s="1459"/>
      <c r="F708" s="1462"/>
      <c r="G708" s="339"/>
      <c r="H708" s="335" t="s">
        <v>22</v>
      </c>
      <c r="I708" s="341"/>
      <c r="J708" s="341"/>
      <c r="K708" s="341"/>
      <c r="L708" s="341"/>
      <c r="M708" s="342"/>
      <c r="N708" s="341"/>
      <c r="O708" s="338">
        <f t="shared" si="303"/>
        <v>0</v>
      </c>
      <c r="P708" s="341"/>
      <c r="Q708" s="431"/>
      <c r="T708" s="418"/>
    </row>
    <row r="709" spans="3:20" ht="15" hidden="1" outlineLevel="2">
      <c r="C709" s="1486"/>
      <c r="D709" s="1464"/>
      <c r="E709" s="1459"/>
      <c r="F709" s="1462"/>
      <c r="G709" s="384"/>
      <c r="H709" s="335" t="s">
        <v>22</v>
      </c>
      <c r="I709" s="345"/>
      <c r="J709" s="345"/>
      <c r="K709" s="345"/>
      <c r="L709" s="345"/>
      <c r="M709" s="346"/>
      <c r="N709" s="345"/>
      <c r="O709" s="338">
        <f t="shared" si="303"/>
        <v>0</v>
      </c>
      <c r="P709" s="345"/>
      <c r="Q709" s="432"/>
      <c r="T709" s="418"/>
    </row>
    <row r="710" spans="3:20" ht="15" hidden="1" outlineLevel="2">
      <c r="C710" s="1486"/>
      <c r="D710" s="1464"/>
      <c r="E710" s="1459"/>
      <c r="F710" s="1462"/>
      <c r="G710" s="339"/>
      <c r="H710" s="335" t="s">
        <v>22</v>
      </c>
      <c r="I710" s="341"/>
      <c r="J710" s="341"/>
      <c r="K710" s="341"/>
      <c r="L710" s="341"/>
      <c r="M710" s="342"/>
      <c r="N710" s="341"/>
      <c r="O710" s="338">
        <f t="shared" si="303"/>
        <v>0</v>
      </c>
      <c r="P710" s="341"/>
      <c r="Q710" s="431"/>
      <c r="T710" s="418"/>
    </row>
    <row r="711" spans="3:20" ht="15" hidden="1" outlineLevel="2">
      <c r="C711" s="1486"/>
      <c r="D711" s="1464"/>
      <c r="E711" s="1459"/>
      <c r="F711" s="1462"/>
      <c r="G711" s="1454" t="s">
        <v>44</v>
      </c>
      <c r="H711" s="1455"/>
      <c r="I711" s="371">
        <f>SUM(I701:I710)</f>
        <v>0</v>
      </c>
      <c r="J711" s="371">
        <f t="shared" ref="J711:K711" si="304">SUM(J701:J710)</f>
        <v>0</v>
      </c>
      <c r="K711" s="371">
        <f t="shared" si="304"/>
        <v>0</v>
      </c>
      <c r="L711" s="371">
        <f t="shared" ref="L711" si="305">SUM(L701:L710)</f>
        <v>0</v>
      </c>
      <c r="M711" s="371"/>
      <c r="N711" s="371">
        <f>N701</f>
        <v>0</v>
      </c>
      <c r="O711" s="367">
        <f t="shared" si="303"/>
        <v>0</v>
      </c>
      <c r="P711" s="371">
        <f t="shared" ref="P711:Q711" si="306">SUM(P701:P710)</f>
        <v>0</v>
      </c>
      <c r="Q711" s="438">
        <f t="shared" si="306"/>
        <v>0</v>
      </c>
      <c r="T711" s="418"/>
    </row>
    <row r="712" spans="3:20" ht="15" hidden="1" outlineLevel="1" collapsed="1">
      <c r="C712" s="1486"/>
      <c r="D712" s="1464"/>
      <c r="E712" s="1459"/>
      <c r="F712" s="1463"/>
      <c r="G712" s="1454" t="s">
        <v>177</v>
      </c>
      <c r="H712" s="1455"/>
      <c r="I712" s="371">
        <f>(I689/usdrate)+(I700*jodrate)+I711</f>
        <v>0</v>
      </c>
      <c r="J712" s="371">
        <f>(J689/usdrate)+(J700*jodrate)+J711</f>
        <v>0</v>
      </c>
      <c r="K712" s="371">
        <f>(K689/usdrate)+(K700*jodrate)+K711</f>
        <v>0</v>
      </c>
      <c r="L712" s="371">
        <f>(L689/usdrate)+(L700*jodrate)+L711</f>
        <v>0</v>
      </c>
      <c r="M712" s="359"/>
      <c r="N712" s="371">
        <f>(N689/usdrate)+(N700*jodrate)+N711</f>
        <v>0</v>
      </c>
      <c r="O712" s="367">
        <f t="shared" si="303"/>
        <v>0</v>
      </c>
      <c r="P712" s="371">
        <f>(P689/usdrate)+(P700*jodrate)+P711</f>
        <v>0</v>
      </c>
      <c r="Q712" s="438">
        <f>(Q689/usdrate)+(Q700*jodrate)+Q711</f>
        <v>0</v>
      </c>
      <c r="T712" s="418"/>
    </row>
    <row r="713" spans="3:20" ht="15" hidden="1" outlineLevel="2">
      <c r="C713" s="1486"/>
      <c r="D713" s="1464"/>
      <c r="E713" s="1459"/>
      <c r="F713" s="1461" t="s">
        <v>171</v>
      </c>
      <c r="G713" s="353"/>
      <c r="H713" s="340" t="s">
        <v>4</v>
      </c>
      <c r="I713" s="341"/>
      <c r="J713" s="341"/>
      <c r="K713" s="370"/>
      <c r="L713" s="370"/>
      <c r="M713" s="337"/>
      <c r="N713" s="336"/>
      <c r="O713" s="338">
        <f t="shared" si="303"/>
        <v>0</v>
      </c>
      <c r="P713" s="341"/>
      <c r="Q713" s="431"/>
      <c r="T713" s="418"/>
    </row>
    <row r="714" spans="3:20" ht="15" hidden="1" outlineLevel="2">
      <c r="C714" s="1486"/>
      <c r="D714" s="1464"/>
      <c r="E714" s="1459"/>
      <c r="F714" s="1462"/>
      <c r="G714" s="343"/>
      <c r="H714" s="340" t="s">
        <v>4</v>
      </c>
      <c r="I714" s="341"/>
      <c r="J714" s="341"/>
      <c r="K714" s="341"/>
      <c r="L714" s="341"/>
      <c r="M714" s="342"/>
      <c r="N714" s="341">
        <v>0</v>
      </c>
      <c r="O714" s="338">
        <f t="shared" si="303"/>
        <v>0</v>
      </c>
      <c r="P714" s="341"/>
      <c r="Q714" s="431"/>
      <c r="T714" s="418"/>
    </row>
    <row r="715" spans="3:20" ht="15" hidden="1" outlineLevel="2">
      <c r="C715" s="1486"/>
      <c r="D715" s="1464"/>
      <c r="E715" s="1459"/>
      <c r="F715" s="1462"/>
      <c r="G715" s="343"/>
      <c r="H715" s="340" t="s">
        <v>4</v>
      </c>
      <c r="I715" s="341"/>
      <c r="J715" s="341"/>
      <c r="K715" s="341"/>
      <c r="L715" s="341"/>
      <c r="M715" s="337"/>
      <c r="N715" s="341"/>
      <c r="O715" s="338">
        <f t="shared" si="303"/>
        <v>0</v>
      </c>
      <c r="P715" s="341"/>
      <c r="Q715" s="431"/>
      <c r="T715" s="418"/>
    </row>
    <row r="716" spans="3:20" ht="15" hidden="1" outlineLevel="2">
      <c r="C716" s="1486"/>
      <c r="D716" s="1464"/>
      <c r="E716" s="1459"/>
      <c r="F716" s="1462"/>
      <c r="G716" s="343"/>
      <c r="H716" s="340" t="s">
        <v>4</v>
      </c>
      <c r="I716" s="341"/>
      <c r="J716" s="341"/>
      <c r="K716" s="341"/>
      <c r="L716" s="341"/>
      <c r="M716" s="342"/>
      <c r="N716" s="341"/>
      <c r="O716" s="338">
        <f t="shared" si="303"/>
        <v>0</v>
      </c>
      <c r="P716" s="341"/>
      <c r="Q716" s="431"/>
      <c r="T716" s="418"/>
    </row>
    <row r="717" spans="3:20" ht="15" hidden="1" outlineLevel="2">
      <c r="C717" s="1486"/>
      <c r="D717" s="1464"/>
      <c r="E717" s="1459"/>
      <c r="F717" s="1462"/>
      <c r="G717" s="343"/>
      <c r="H717" s="340" t="s">
        <v>4</v>
      </c>
      <c r="I717" s="341"/>
      <c r="J717" s="341"/>
      <c r="K717" s="341"/>
      <c r="L717" s="341"/>
      <c r="M717" s="342"/>
      <c r="N717" s="341"/>
      <c r="O717" s="338">
        <f t="shared" si="303"/>
        <v>0</v>
      </c>
      <c r="P717" s="341"/>
      <c r="Q717" s="431"/>
      <c r="T717" s="418"/>
    </row>
    <row r="718" spans="3:20" ht="15" hidden="1" outlineLevel="2">
      <c r="C718" s="1486"/>
      <c r="D718" s="1464"/>
      <c r="E718" s="1459"/>
      <c r="F718" s="1462"/>
      <c r="G718" s="343"/>
      <c r="H718" s="340" t="s">
        <v>4</v>
      </c>
      <c r="I718" s="341"/>
      <c r="J718" s="341"/>
      <c r="K718" s="341"/>
      <c r="L718" s="341"/>
      <c r="M718" s="342"/>
      <c r="N718" s="341"/>
      <c r="O718" s="338">
        <f t="shared" si="303"/>
        <v>0</v>
      </c>
      <c r="P718" s="341"/>
      <c r="Q718" s="431"/>
      <c r="T718" s="418"/>
    </row>
    <row r="719" spans="3:20" ht="15" hidden="1" outlineLevel="2">
      <c r="C719" s="1486"/>
      <c r="D719" s="1464"/>
      <c r="E719" s="1459"/>
      <c r="F719" s="1462"/>
      <c r="G719" s="343"/>
      <c r="H719" s="340" t="s">
        <v>4</v>
      </c>
      <c r="I719" s="341"/>
      <c r="J719" s="341"/>
      <c r="K719" s="341"/>
      <c r="L719" s="341"/>
      <c r="M719" s="342"/>
      <c r="N719" s="341"/>
      <c r="O719" s="338">
        <f t="shared" si="303"/>
        <v>0</v>
      </c>
      <c r="P719" s="341"/>
      <c r="Q719" s="431"/>
      <c r="T719" s="418"/>
    </row>
    <row r="720" spans="3:20" ht="15" hidden="1" outlineLevel="2">
      <c r="C720" s="1486"/>
      <c r="D720" s="1464"/>
      <c r="E720" s="1459"/>
      <c r="F720" s="1462"/>
      <c r="G720" s="343"/>
      <c r="H720" s="340" t="s">
        <v>4</v>
      </c>
      <c r="I720" s="341"/>
      <c r="J720" s="341"/>
      <c r="K720" s="341"/>
      <c r="L720" s="341"/>
      <c r="M720" s="342"/>
      <c r="N720" s="341"/>
      <c r="O720" s="338">
        <f t="shared" si="303"/>
        <v>0</v>
      </c>
      <c r="P720" s="341"/>
      <c r="Q720" s="431"/>
      <c r="T720" s="418"/>
    </row>
    <row r="721" spans="3:20" ht="15" hidden="1" outlineLevel="2">
      <c r="C721" s="1486"/>
      <c r="D721" s="1464"/>
      <c r="E721" s="1459"/>
      <c r="F721" s="1462"/>
      <c r="G721" s="344"/>
      <c r="H721" s="340" t="s">
        <v>4</v>
      </c>
      <c r="I721" s="345"/>
      <c r="J721" s="345"/>
      <c r="K721" s="345"/>
      <c r="L721" s="345"/>
      <c r="M721" s="346"/>
      <c r="N721" s="345"/>
      <c r="O721" s="338">
        <f t="shared" si="303"/>
        <v>0</v>
      </c>
      <c r="P721" s="345"/>
      <c r="Q721" s="432"/>
      <c r="T721" s="418"/>
    </row>
    <row r="722" spans="3:20" ht="15" hidden="1" outlineLevel="2">
      <c r="C722" s="1486"/>
      <c r="D722" s="1464"/>
      <c r="E722" s="1459"/>
      <c r="F722" s="1462"/>
      <c r="G722" s="343"/>
      <c r="H722" s="340" t="s">
        <v>4</v>
      </c>
      <c r="I722" s="341"/>
      <c r="J722" s="341"/>
      <c r="K722" s="341"/>
      <c r="L722" s="341"/>
      <c r="M722" s="342"/>
      <c r="N722" s="341"/>
      <c r="O722" s="338">
        <f t="shared" si="303"/>
        <v>0</v>
      </c>
      <c r="P722" s="341"/>
      <c r="Q722" s="431"/>
      <c r="T722" s="418"/>
    </row>
    <row r="723" spans="3:20" ht="15" hidden="1" outlineLevel="2">
      <c r="C723" s="1486"/>
      <c r="D723" s="1464"/>
      <c r="E723" s="1459"/>
      <c r="F723" s="1462"/>
      <c r="G723" s="1454" t="s">
        <v>45</v>
      </c>
      <c r="H723" s="1455"/>
      <c r="I723" s="371">
        <f>SUM(I713:I722)</f>
        <v>0</v>
      </c>
      <c r="J723" s="371">
        <f t="shared" ref="J723:K723" si="307">SUM(J713:J722)</f>
        <v>0</v>
      </c>
      <c r="K723" s="371">
        <f t="shared" si="307"/>
        <v>0</v>
      </c>
      <c r="L723" s="371">
        <f t="shared" ref="L723" si="308">SUM(L713:L722)</f>
        <v>0</v>
      </c>
      <c r="M723" s="359"/>
      <c r="N723" s="371">
        <f>N713</f>
        <v>0</v>
      </c>
      <c r="O723" s="367">
        <f t="shared" si="303"/>
        <v>0</v>
      </c>
      <c r="P723" s="371">
        <f t="shared" ref="P723:Q723" si="309">SUM(P713:P722)</f>
        <v>0</v>
      </c>
      <c r="Q723" s="438">
        <f t="shared" si="309"/>
        <v>0</v>
      </c>
      <c r="T723" s="418"/>
    </row>
    <row r="724" spans="3:20" ht="15" hidden="1" outlineLevel="2">
      <c r="C724" s="1486"/>
      <c r="D724" s="1464"/>
      <c r="E724" s="1459"/>
      <c r="F724" s="1462"/>
      <c r="G724" s="350"/>
      <c r="H724" s="335" t="s">
        <v>28</v>
      </c>
      <c r="I724" s="336"/>
      <c r="J724" s="336"/>
      <c r="K724" s="336"/>
      <c r="L724" s="336"/>
      <c r="M724" s="337"/>
      <c r="N724" s="336"/>
      <c r="O724" s="338">
        <f t="shared" si="303"/>
        <v>0</v>
      </c>
      <c r="P724" s="336"/>
      <c r="Q724" s="430"/>
      <c r="T724" s="418"/>
    </row>
    <row r="725" spans="3:20" ht="15" hidden="1" outlineLevel="2">
      <c r="C725" s="1486"/>
      <c r="D725" s="1464"/>
      <c r="E725" s="1459"/>
      <c r="F725" s="1462"/>
      <c r="G725" s="343"/>
      <c r="H725" s="335" t="s">
        <v>28</v>
      </c>
      <c r="I725" s="341"/>
      <c r="J725" s="341"/>
      <c r="K725" s="341"/>
      <c r="L725" s="341"/>
      <c r="M725" s="342"/>
      <c r="N725" s="341"/>
      <c r="O725" s="338">
        <f t="shared" si="303"/>
        <v>0</v>
      </c>
      <c r="P725" s="341"/>
      <c r="Q725" s="431"/>
      <c r="T725" s="418"/>
    </row>
    <row r="726" spans="3:20" ht="15" hidden="1" outlineLevel="2">
      <c r="C726" s="1486"/>
      <c r="D726" s="1464"/>
      <c r="E726" s="1459"/>
      <c r="F726" s="1462"/>
      <c r="G726" s="343"/>
      <c r="H726" s="335" t="s">
        <v>28</v>
      </c>
      <c r="I726" s="341"/>
      <c r="J726" s="341"/>
      <c r="K726" s="341"/>
      <c r="L726" s="341"/>
      <c r="M726" s="337"/>
      <c r="N726" s="341"/>
      <c r="O726" s="338">
        <f t="shared" si="303"/>
        <v>0</v>
      </c>
      <c r="P726" s="341"/>
      <c r="Q726" s="431"/>
      <c r="T726" s="418"/>
    </row>
    <row r="727" spans="3:20" ht="15" hidden="1" outlineLevel="2">
      <c r="C727" s="1486"/>
      <c r="D727" s="1464"/>
      <c r="E727" s="1459"/>
      <c r="F727" s="1462"/>
      <c r="G727" s="343"/>
      <c r="H727" s="335" t="s">
        <v>28</v>
      </c>
      <c r="I727" s="341"/>
      <c r="J727" s="341"/>
      <c r="K727" s="341"/>
      <c r="L727" s="341"/>
      <c r="M727" s="342"/>
      <c r="N727" s="341"/>
      <c r="O727" s="338">
        <f t="shared" si="303"/>
        <v>0</v>
      </c>
      <c r="P727" s="341"/>
      <c r="Q727" s="431"/>
      <c r="T727" s="418"/>
    </row>
    <row r="728" spans="3:20" ht="15" hidden="1" outlineLevel="2">
      <c r="C728" s="1486"/>
      <c r="D728" s="1464"/>
      <c r="E728" s="1459"/>
      <c r="F728" s="1462"/>
      <c r="G728" s="343"/>
      <c r="H728" s="335" t="s">
        <v>28</v>
      </c>
      <c r="I728" s="341"/>
      <c r="J728" s="341"/>
      <c r="K728" s="341"/>
      <c r="L728" s="341"/>
      <c r="M728" s="342"/>
      <c r="N728" s="341"/>
      <c r="O728" s="338">
        <f t="shared" si="303"/>
        <v>0</v>
      </c>
      <c r="P728" s="341"/>
      <c r="Q728" s="431"/>
      <c r="T728" s="418"/>
    </row>
    <row r="729" spans="3:20" ht="15" hidden="1" outlineLevel="2">
      <c r="C729" s="1486"/>
      <c r="D729" s="1464"/>
      <c r="E729" s="1459"/>
      <c r="F729" s="1462"/>
      <c r="G729" s="343"/>
      <c r="H729" s="335" t="s">
        <v>28</v>
      </c>
      <c r="I729" s="341"/>
      <c r="J729" s="341"/>
      <c r="K729" s="341"/>
      <c r="L729" s="341"/>
      <c r="M729" s="342"/>
      <c r="N729" s="341"/>
      <c r="O729" s="338">
        <f t="shared" si="303"/>
        <v>0</v>
      </c>
      <c r="P729" s="341"/>
      <c r="Q729" s="431"/>
      <c r="T729" s="418"/>
    </row>
    <row r="730" spans="3:20" ht="15" hidden="1" outlineLevel="2">
      <c r="C730" s="1486"/>
      <c r="D730" s="1464"/>
      <c r="E730" s="1459"/>
      <c r="F730" s="1462"/>
      <c r="G730" s="343"/>
      <c r="H730" s="335" t="s">
        <v>28</v>
      </c>
      <c r="I730" s="341"/>
      <c r="J730" s="341"/>
      <c r="K730" s="341"/>
      <c r="L730" s="341"/>
      <c r="M730" s="342"/>
      <c r="N730" s="341"/>
      <c r="O730" s="338">
        <f t="shared" si="303"/>
        <v>0</v>
      </c>
      <c r="P730" s="341"/>
      <c r="Q730" s="431"/>
      <c r="T730" s="418"/>
    </row>
    <row r="731" spans="3:20" ht="15" hidden="1" outlineLevel="2">
      <c r="C731" s="1486"/>
      <c r="D731" s="1464"/>
      <c r="E731" s="1459"/>
      <c r="F731" s="1462"/>
      <c r="G731" s="343"/>
      <c r="H731" s="335" t="s">
        <v>28</v>
      </c>
      <c r="I731" s="341"/>
      <c r="J731" s="341"/>
      <c r="K731" s="341"/>
      <c r="L731" s="341"/>
      <c r="M731" s="342"/>
      <c r="N731" s="341"/>
      <c r="O731" s="338">
        <f t="shared" si="303"/>
        <v>0</v>
      </c>
      <c r="P731" s="341"/>
      <c r="Q731" s="431"/>
      <c r="T731" s="418"/>
    </row>
    <row r="732" spans="3:20" ht="15" hidden="1" outlineLevel="2">
      <c r="C732" s="1486"/>
      <c r="D732" s="1464"/>
      <c r="E732" s="1459"/>
      <c r="F732" s="1462"/>
      <c r="G732" s="344"/>
      <c r="H732" s="335" t="s">
        <v>28</v>
      </c>
      <c r="I732" s="345"/>
      <c r="J732" s="345"/>
      <c r="K732" s="345"/>
      <c r="L732" s="345"/>
      <c r="M732" s="346"/>
      <c r="N732" s="345"/>
      <c r="O732" s="338">
        <f t="shared" si="303"/>
        <v>0</v>
      </c>
      <c r="P732" s="345"/>
      <c r="Q732" s="432"/>
      <c r="T732" s="418"/>
    </row>
    <row r="733" spans="3:20" ht="15" hidden="1" outlineLevel="2">
      <c r="C733" s="1486"/>
      <c r="D733" s="1464"/>
      <c r="E733" s="1459"/>
      <c r="F733" s="1462"/>
      <c r="G733" s="343"/>
      <c r="H733" s="335" t="s">
        <v>28</v>
      </c>
      <c r="I733" s="341"/>
      <c r="J733" s="341"/>
      <c r="K733" s="341"/>
      <c r="L733" s="341"/>
      <c r="M733" s="342"/>
      <c r="N733" s="341"/>
      <c r="O733" s="338">
        <f t="shared" si="303"/>
        <v>0</v>
      </c>
      <c r="P733" s="341"/>
      <c r="Q733" s="431"/>
      <c r="T733" s="418"/>
    </row>
    <row r="734" spans="3:20" ht="15" hidden="1" outlineLevel="2">
      <c r="C734" s="1486"/>
      <c r="D734" s="1464"/>
      <c r="E734" s="1459"/>
      <c r="F734" s="1462"/>
      <c r="G734" s="1454" t="s">
        <v>51</v>
      </c>
      <c r="H734" s="1455"/>
      <c r="I734" s="371">
        <f>SUM(I724:I733)</f>
        <v>0</v>
      </c>
      <c r="J734" s="371">
        <f t="shared" ref="J734:K734" si="310">SUM(J724:J733)</f>
        <v>0</v>
      </c>
      <c r="K734" s="371">
        <f t="shared" si="310"/>
        <v>0</v>
      </c>
      <c r="L734" s="371">
        <f t="shared" ref="L734" si="311">SUM(L724:L733)</f>
        <v>0</v>
      </c>
      <c r="M734" s="359"/>
      <c r="N734" s="371">
        <f>N724</f>
        <v>0</v>
      </c>
      <c r="O734" s="367">
        <f t="shared" si="303"/>
        <v>0</v>
      </c>
      <c r="P734" s="371">
        <f t="shared" ref="P734:Q734" si="312">SUM(P724:P733)</f>
        <v>0</v>
      </c>
      <c r="Q734" s="438">
        <f t="shared" si="312"/>
        <v>0</v>
      </c>
      <c r="T734" s="418"/>
    </row>
    <row r="735" spans="3:20" ht="15" hidden="1" outlineLevel="2">
      <c r="C735" s="1486"/>
      <c r="D735" s="1464"/>
      <c r="E735" s="1459"/>
      <c r="F735" s="1462"/>
      <c r="G735" s="350"/>
      <c r="H735" s="335" t="s">
        <v>22</v>
      </c>
      <c r="I735" s="336"/>
      <c r="J735" s="336"/>
      <c r="K735" s="336"/>
      <c r="L735" s="336"/>
      <c r="M735" s="337"/>
      <c r="N735" s="336"/>
      <c r="O735" s="338">
        <f t="shared" si="303"/>
        <v>0</v>
      </c>
      <c r="P735" s="336"/>
      <c r="Q735" s="430"/>
      <c r="T735" s="418"/>
    </row>
    <row r="736" spans="3:20" ht="15" hidden="1" outlineLevel="2">
      <c r="C736" s="1486"/>
      <c r="D736" s="1464"/>
      <c r="E736" s="1459"/>
      <c r="F736" s="1462"/>
      <c r="G736" s="343"/>
      <c r="H736" s="335" t="s">
        <v>22</v>
      </c>
      <c r="I736" s="341"/>
      <c r="J736" s="341"/>
      <c r="K736" s="341"/>
      <c r="L736" s="341"/>
      <c r="M736" s="342"/>
      <c r="N736" s="341"/>
      <c r="O736" s="338">
        <f t="shared" si="303"/>
        <v>0</v>
      </c>
      <c r="P736" s="341"/>
      <c r="Q736" s="431"/>
      <c r="T736" s="418"/>
    </row>
    <row r="737" spans="3:20" ht="15" hidden="1" outlineLevel="2">
      <c r="C737" s="1486"/>
      <c r="D737" s="1464"/>
      <c r="E737" s="1459"/>
      <c r="F737" s="1462"/>
      <c r="G737" s="343"/>
      <c r="H737" s="335" t="s">
        <v>22</v>
      </c>
      <c r="I737" s="341"/>
      <c r="J737" s="341"/>
      <c r="K737" s="341"/>
      <c r="L737" s="341"/>
      <c r="M737" s="337"/>
      <c r="N737" s="341"/>
      <c r="O737" s="338">
        <f t="shared" si="303"/>
        <v>0</v>
      </c>
      <c r="P737" s="341"/>
      <c r="Q737" s="431"/>
      <c r="T737" s="418"/>
    </row>
    <row r="738" spans="3:20" ht="15" hidden="1" outlineLevel="2">
      <c r="C738" s="1486"/>
      <c r="D738" s="1464"/>
      <c r="E738" s="1459"/>
      <c r="F738" s="1462"/>
      <c r="G738" s="343"/>
      <c r="H738" s="335" t="s">
        <v>22</v>
      </c>
      <c r="I738" s="341"/>
      <c r="J738" s="341"/>
      <c r="K738" s="341"/>
      <c r="L738" s="341"/>
      <c r="M738" s="342"/>
      <c r="N738" s="341"/>
      <c r="O738" s="338">
        <f t="shared" si="303"/>
        <v>0</v>
      </c>
      <c r="P738" s="341"/>
      <c r="Q738" s="431"/>
      <c r="T738" s="418"/>
    </row>
    <row r="739" spans="3:20" ht="15" hidden="1" outlineLevel="2">
      <c r="C739" s="1486"/>
      <c r="D739" s="1464"/>
      <c r="E739" s="1459"/>
      <c r="F739" s="1462"/>
      <c r="G739" s="343"/>
      <c r="H739" s="335" t="s">
        <v>22</v>
      </c>
      <c r="I739" s="341"/>
      <c r="J739" s="341"/>
      <c r="K739" s="341"/>
      <c r="L739" s="341"/>
      <c r="M739" s="342"/>
      <c r="N739" s="341"/>
      <c r="O739" s="338">
        <f t="shared" si="303"/>
        <v>0</v>
      </c>
      <c r="P739" s="341"/>
      <c r="Q739" s="431"/>
      <c r="T739" s="418"/>
    </row>
    <row r="740" spans="3:20" ht="15" hidden="1" outlineLevel="2">
      <c r="C740" s="1486"/>
      <c r="D740" s="1464"/>
      <c r="E740" s="1459"/>
      <c r="F740" s="1462"/>
      <c r="G740" s="343"/>
      <c r="H740" s="335" t="s">
        <v>22</v>
      </c>
      <c r="I740" s="341"/>
      <c r="J740" s="341"/>
      <c r="K740" s="341"/>
      <c r="L740" s="341"/>
      <c r="M740" s="342"/>
      <c r="N740" s="341"/>
      <c r="O740" s="338">
        <f t="shared" si="303"/>
        <v>0</v>
      </c>
      <c r="P740" s="341"/>
      <c r="Q740" s="431"/>
      <c r="T740" s="418"/>
    </row>
    <row r="741" spans="3:20" ht="15" hidden="1" outlineLevel="2">
      <c r="C741" s="1486"/>
      <c r="D741" s="1464"/>
      <c r="E741" s="1459"/>
      <c r="F741" s="1462"/>
      <c r="G741" s="343"/>
      <c r="H741" s="335" t="s">
        <v>22</v>
      </c>
      <c r="I741" s="341"/>
      <c r="J741" s="341"/>
      <c r="K741" s="341"/>
      <c r="L741" s="341"/>
      <c r="M741" s="342"/>
      <c r="N741" s="341"/>
      <c r="O741" s="338">
        <f t="shared" si="303"/>
        <v>0</v>
      </c>
      <c r="P741" s="341"/>
      <c r="Q741" s="431"/>
      <c r="T741" s="418"/>
    </row>
    <row r="742" spans="3:20" ht="15" hidden="1" outlineLevel="2">
      <c r="C742" s="1486"/>
      <c r="D742" s="1464"/>
      <c r="E742" s="1459"/>
      <c r="F742" s="1462"/>
      <c r="G742" s="343"/>
      <c r="H742" s="335" t="s">
        <v>22</v>
      </c>
      <c r="I742" s="341"/>
      <c r="J742" s="341"/>
      <c r="K742" s="341"/>
      <c r="L742" s="341"/>
      <c r="M742" s="342"/>
      <c r="N742" s="341"/>
      <c r="O742" s="338">
        <f t="shared" si="303"/>
        <v>0</v>
      </c>
      <c r="P742" s="341"/>
      <c r="Q742" s="431"/>
      <c r="T742" s="418"/>
    </row>
    <row r="743" spans="3:20" ht="15" hidden="1" outlineLevel="2">
      <c r="C743" s="1486"/>
      <c r="D743" s="1464"/>
      <c r="E743" s="1459"/>
      <c r="F743" s="1462"/>
      <c r="G743" s="344"/>
      <c r="H743" s="335" t="s">
        <v>22</v>
      </c>
      <c r="I743" s="345"/>
      <c r="J743" s="345"/>
      <c r="K743" s="345"/>
      <c r="L743" s="345"/>
      <c r="M743" s="346"/>
      <c r="N743" s="345"/>
      <c r="O743" s="338">
        <f t="shared" si="303"/>
        <v>0</v>
      </c>
      <c r="P743" s="345"/>
      <c r="Q743" s="432"/>
      <c r="T743" s="418"/>
    </row>
    <row r="744" spans="3:20" ht="15" hidden="1" outlineLevel="2">
      <c r="C744" s="1486"/>
      <c r="D744" s="1464"/>
      <c r="E744" s="1459"/>
      <c r="F744" s="1462"/>
      <c r="G744" s="343"/>
      <c r="H744" s="335" t="s">
        <v>22</v>
      </c>
      <c r="I744" s="341"/>
      <c r="J744" s="341"/>
      <c r="K744" s="341"/>
      <c r="L744" s="341"/>
      <c r="M744" s="342"/>
      <c r="N744" s="341"/>
      <c r="O744" s="338">
        <f t="shared" si="303"/>
        <v>0</v>
      </c>
      <c r="P744" s="341"/>
      <c r="Q744" s="431"/>
      <c r="T744" s="418"/>
    </row>
    <row r="745" spans="3:20" ht="15" hidden="1" outlineLevel="2">
      <c r="C745" s="1486"/>
      <c r="D745" s="1464"/>
      <c r="E745" s="1459"/>
      <c r="F745" s="1462"/>
      <c r="G745" s="1454" t="s">
        <v>44</v>
      </c>
      <c r="H745" s="1455"/>
      <c r="I745" s="371">
        <f>SUM(I735:I744)</f>
        <v>0</v>
      </c>
      <c r="J745" s="371">
        <f t="shared" ref="J745:K745" si="313">SUM(J735:J744)</f>
        <v>0</v>
      </c>
      <c r="K745" s="371">
        <f t="shared" si="313"/>
        <v>0</v>
      </c>
      <c r="L745" s="371">
        <f t="shared" ref="L745" si="314">SUM(L735:L744)</f>
        <v>0</v>
      </c>
      <c r="M745" s="359"/>
      <c r="N745" s="371">
        <f>N735</f>
        <v>0</v>
      </c>
      <c r="O745" s="367">
        <f t="shared" si="303"/>
        <v>0</v>
      </c>
      <c r="P745" s="371">
        <f t="shared" ref="P745:Q745" si="315">SUM(P735:P744)</f>
        <v>0</v>
      </c>
      <c r="Q745" s="438">
        <f t="shared" si="315"/>
        <v>0</v>
      </c>
      <c r="T745" s="418"/>
    </row>
    <row r="746" spans="3:20" ht="15" hidden="1" outlineLevel="1" collapsed="1">
      <c r="C746" s="1486"/>
      <c r="D746" s="1464"/>
      <c r="E746" s="1459"/>
      <c r="F746" s="1463"/>
      <c r="G746" s="1454" t="s">
        <v>177</v>
      </c>
      <c r="H746" s="1455"/>
      <c r="I746" s="371">
        <f>(I723/usdrate)+(I734*jodrate)+I745</f>
        <v>0</v>
      </c>
      <c r="J746" s="371">
        <f>(J723/usdrate)+(J734*jodrate)+J745</f>
        <v>0</v>
      </c>
      <c r="K746" s="371">
        <f>(K723/usdrate)+(K734*jodrate)+K745</f>
        <v>0</v>
      </c>
      <c r="L746" s="371">
        <f>(L723/usdrate)+(L734*jodrate)+L745</f>
        <v>0</v>
      </c>
      <c r="M746" s="359"/>
      <c r="N746" s="371">
        <f>(N723/usdrate)+(N734*jodrate)+N745</f>
        <v>0</v>
      </c>
      <c r="O746" s="367">
        <f t="shared" si="303"/>
        <v>0</v>
      </c>
      <c r="P746" s="371">
        <f>(P723/usdrate)+(P734*jodrate)+P745</f>
        <v>0</v>
      </c>
      <c r="Q746" s="438">
        <f>(Q723/usdrate)+(Q734*jodrate)+Q745</f>
        <v>0</v>
      </c>
      <c r="T746" s="418"/>
    </row>
    <row r="747" spans="3:20" ht="15" hidden="1" outlineLevel="2">
      <c r="C747" s="1486"/>
      <c r="D747" s="1464"/>
      <c r="E747" s="1459"/>
      <c r="F747" s="1461" t="s">
        <v>172</v>
      </c>
      <c r="G747" s="350"/>
      <c r="H747" s="335" t="s">
        <v>28</v>
      </c>
      <c r="I747" s="336"/>
      <c r="J747" s="336"/>
      <c r="K747" s="336"/>
      <c r="L747" s="336"/>
      <c r="M747" s="337"/>
      <c r="N747" s="336"/>
      <c r="O747" s="338">
        <f t="shared" si="303"/>
        <v>0</v>
      </c>
      <c r="P747" s="336"/>
      <c r="Q747" s="430"/>
      <c r="T747" s="418"/>
    </row>
    <row r="748" spans="3:20" ht="15" hidden="1" outlineLevel="2">
      <c r="C748" s="1486"/>
      <c r="D748" s="1464"/>
      <c r="E748" s="1459"/>
      <c r="F748" s="1462"/>
      <c r="G748" s="343"/>
      <c r="H748" s="335" t="s">
        <v>28</v>
      </c>
      <c r="I748" s="341"/>
      <c r="J748" s="341"/>
      <c r="K748" s="341"/>
      <c r="L748" s="341"/>
      <c r="M748" s="342"/>
      <c r="N748" s="341"/>
      <c r="O748" s="338">
        <f t="shared" si="303"/>
        <v>0</v>
      </c>
      <c r="P748" s="341"/>
      <c r="Q748" s="431"/>
      <c r="T748" s="418"/>
    </row>
    <row r="749" spans="3:20" ht="15" hidden="1" outlineLevel="2">
      <c r="C749" s="1486"/>
      <c r="D749" s="1464"/>
      <c r="E749" s="1459"/>
      <c r="F749" s="1462"/>
      <c r="G749" s="343"/>
      <c r="H749" s="335" t="s">
        <v>28</v>
      </c>
      <c r="I749" s="341"/>
      <c r="J749" s="341"/>
      <c r="K749" s="341"/>
      <c r="L749" s="341"/>
      <c r="M749" s="337"/>
      <c r="N749" s="341"/>
      <c r="O749" s="338">
        <f t="shared" si="303"/>
        <v>0</v>
      </c>
      <c r="P749" s="341"/>
      <c r="Q749" s="431"/>
      <c r="T749" s="418"/>
    </row>
    <row r="750" spans="3:20" ht="15" hidden="1" outlineLevel="2">
      <c r="C750" s="1486"/>
      <c r="D750" s="1464"/>
      <c r="E750" s="1459"/>
      <c r="F750" s="1462"/>
      <c r="G750" s="343"/>
      <c r="H750" s="335" t="s">
        <v>28</v>
      </c>
      <c r="I750" s="341"/>
      <c r="J750" s="341"/>
      <c r="K750" s="341"/>
      <c r="L750" s="341"/>
      <c r="M750" s="342"/>
      <c r="N750" s="341"/>
      <c r="O750" s="338">
        <f t="shared" si="303"/>
        <v>0</v>
      </c>
      <c r="P750" s="341"/>
      <c r="Q750" s="431"/>
      <c r="T750" s="418"/>
    </row>
    <row r="751" spans="3:20" ht="15" hidden="1" outlineLevel="2">
      <c r="C751" s="1486"/>
      <c r="D751" s="1464"/>
      <c r="E751" s="1459"/>
      <c r="F751" s="1462"/>
      <c r="G751" s="343"/>
      <c r="H751" s="335" t="s">
        <v>28</v>
      </c>
      <c r="I751" s="341"/>
      <c r="J751" s="341"/>
      <c r="K751" s="341"/>
      <c r="L751" s="341"/>
      <c r="M751" s="342"/>
      <c r="N751" s="341"/>
      <c r="O751" s="338">
        <f t="shared" si="303"/>
        <v>0</v>
      </c>
      <c r="P751" s="341"/>
      <c r="Q751" s="431"/>
      <c r="T751" s="418"/>
    </row>
    <row r="752" spans="3:20" ht="15" hidden="1" outlineLevel="2">
      <c r="C752" s="1486"/>
      <c r="D752" s="1464"/>
      <c r="E752" s="1459"/>
      <c r="F752" s="1462"/>
      <c r="G752" s="343"/>
      <c r="H752" s="335" t="s">
        <v>28</v>
      </c>
      <c r="I752" s="341"/>
      <c r="J752" s="341"/>
      <c r="K752" s="341"/>
      <c r="L752" s="341"/>
      <c r="M752" s="342"/>
      <c r="N752" s="341"/>
      <c r="O752" s="338">
        <f t="shared" si="303"/>
        <v>0</v>
      </c>
      <c r="P752" s="341"/>
      <c r="Q752" s="431"/>
      <c r="T752" s="418"/>
    </row>
    <row r="753" spans="3:20" ht="15" hidden="1" outlineLevel="2">
      <c r="C753" s="1486"/>
      <c r="D753" s="1464"/>
      <c r="E753" s="1459"/>
      <c r="F753" s="1462"/>
      <c r="G753" s="343"/>
      <c r="H753" s="335" t="s">
        <v>28</v>
      </c>
      <c r="I753" s="341"/>
      <c r="J753" s="341"/>
      <c r="K753" s="341"/>
      <c r="L753" s="341"/>
      <c r="M753" s="342"/>
      <c r="N753" s="341"/>
      <c r="O753" s="338">
        <f t="shared" si="303"/>
        <v>0</v>
      </c>
      <c r="P753" s="341"/>
      <c r="Q753" s="431"/>
      <c r="T753" s="418"/>
    </row>
    <row r="754" spans="3:20" ht="15" hidden="1" outlineLevel="2">
      <c r="C754" s="1486"/>
      <c r="D754" s="1464"/>
      <c r="E754" s="1459"/>
      <c r="F754" s="1462"/>
      <c r="G754" s="343"/>
      <c r="H754" s="335" t="s">
        <v>28</v>
      </c>
      <c r="I754" s="341"/>
      <c r="J754" s="341"/>
      <c r="K754" s="341"/>
      <c r="L754" s="341"/>
      <c r="M754" s="342"/>
      <c r="N754" s="341"/>
      <c r="O754" s="338">
        <f t="shared" si="303"/>
        <v>0</v>
      </c>
      <c r="P754" s="341"/>
      <c r="Q754" s="431"/>
      <c r="T754" s="418"/>
    </row>
    <row r="755" spans="3:20" ht="15" hidden="1" outlineLevel="2">
      <c r="C755" s="1486"/>
      <c r="D755" s="1464"/>
      <c r="E755" s="1459"/>
      <c r="F755" s="1462"/>
      <c r="G755" s="344"/>
      <c r="H755" s="335" t="s">
        <v>28</v>
      </c>
      <c r="I755" s="345"/>
      <c r="J755" s="345"/>
      <c r="K755" s="345"/>
      <c r="L755" s="345"/>
      <c r="M755" s="346"/>
      <c r="N755" s="345"/>
      <c r="O755" s="338">
        <f t="shared" si="303"/>
        <v>0</v>
      </c>
      <c r="P755" s="345"/>
      <c r="Q755" s="432"/>
      <c r="T755" s="418"/>
    </row>
    <row r="756" spans="3:20" ht="15" hidden="1" outlineLevel="2">
      <c r="C756" s="1486"/>
      <c r="D756" s="1464"/>
      <c r="E756" s="1459"/>
      <c r="F756" s="1462"/>
      <c r="G756" s="343"/>
      <c r="H756" s="335" t="s">
        <v>28</v>
      </c>
      <c r="I756" s="341"/>
      <c r="J756" s="341"/>
      <c r="K756" s="341"/>
      <c r="L756" s="341"/>
      <c r="M756" s="342"/>
      <c r="N756" s="341"/>
      <c r="O756" s="338">
        <f t="shared" si="303"/>
        <v>0</v>
      </c>
      <c r="P756" s="341"/>
      <c r="Q756" s="431"/>
      <c r="T756" s="418"/>
    </row>
    <row r="757" spans="3:20" ht="15" hidden="1" outlineLevel="2">
      <c r="C757" s="1486"/>
      <c r="D757" s="1464"/>
      <c r="E757" s="1459"/>
      <c r="F757" s="1462"/>
      <c r="G757" s="1454" t="s">
        <v>51</v>
      </c>
      <c r="H757" s="1455"/>
      <c r="I757" s="371">
        <f>SUM(I747:I756)</f>
        <v>0</v>
      </c>
      <c r="J757" s="371">
        <f t="shared" ref="J757:K757" si="316">SUM(J747:J756)</f>
        <v>0</v>
      </c>
      <c r="K757" s="371">
        <f t="shared" si="316"/>
        <v>0</v>
      </c>
      <c r="L757" s="371">
        <f t="shared" ref="L757" si="317">SUM(L747:L756)</f>
        <v>0</v>
      </c>
      <c r="M757" s="359"/>
      <c r="N757" s="371">
        <f>N747</f>
        <v>0</v>
      </c>
      <c r="O757" s="367">
        <f t="shared" si="303"/>
        <v>0</v>
      </c>
      <c r="P757" s="371">
        <f t="shared" ref="P757:Q757" si="318">SUM(P747:P756)</f>
        <v>0</v>
      </c>
      <c r="Q757" s="438">
        <f t="shared" si="318"/>
        <v>0</v>
      </c>
      <c r="T757" s="418"/>
    </row>
    <row r="758" spans="3:20" ht="15" hidden="1" outlineLevel="2">
      <c r="C758" s="1486"/>
      <c r="D758" s="1464"/>
      <c r="E758" s="1459"/>
      <c r="F758" s="1462"/>
      <c r="G758" s="350"/>
      <c r="H758" s="335" t="s">
        <v>22</v>
      </c>
      <c r="I758" s="336"/>
      <c r="J758" s="336"/>
      <c r="K758" s="336"/>
      <c r="L758" s="336"/>
      <c r="M758" s="337"/>
      <c r="N758" s="336"/>
      <c r="O758" s="338">
        <f t="shared" si="303"/>
        <v>0</v>
      </c>
      <c r="P758" s="336"/>
      <c r="Q758" s="430"/>
      <c r="T758" s="418"/>
    </row>
    <row r="759" spans="3:20" ht="15" hidden="1" outlineLevel="2">
      <c r="C759" s="1486"/>
      <c r="D759" s="1464"/>
      <c r="E759" s="1459"/>
      <c r="F759" s="1462"/>
      <c r="G759" s="343"/>
      <c r="H759" s="335" t="s">
        <v>22</v>
      </c>
      <c r="I759" s="341"/>
      <c r="J759" s="341"/>
      <c r="K759" s="341"/>
      <c r="L759" s="341"/>
      <c r="M759" s="342"/>
      <c r="N759" s="341"/>
      <c r="O759" s="338">
        <f t="shared" si="303"/>
        <v>0</v>
      </c>
      <c r="P759" s="341"/>
      <c r="Q759" s="431"/>
      <c r="T759" s="418"/>
    </row>
    <row r="760" spans="3:20" ht="15" hidden="1" outlineLevel="2">
      <c r="C760" s="1486"/>
      <c r="D760" s="1464"/>
      <c r="E760" s="1459"/>
      <c r="F760" s="1462"/>
      <c r="G760" s="343"/>
      <c r="H760" s="335" t="s">
        <v>22</v>
      </c>
      <c r="I760" s="341"/>
      <c r="J760" s="341"/>
      <c r="K760" s="341"/>
      <c r="L760" s="341"/>
      <c r="M760" s="337"/>
      <c r="N760" s="341"/>
      <c r="O760" s="338">
        <f t="shared" si="303"/>
        <v>0</v>
      </c>
      <c r="P760" s="341"/>
      <c r="Q760" s="431"/>
      <c r="T760" s="418"/>
    </row>
    <row r="761" spans="3:20" ht="15" hidden="1" outlineLevel="2">
      <c r="C761" s="1486"/>
      <c r="D761" s="1464"/>
      <c r="E761" s="1459"/>
      <c r="F761" s="1462"/>
      <c r="G761" s="343"/>
      <c r="H761" s="335" t="s">
        <v>22</v>
      </c>
      <c r="I761" s="341"/>
      <c r="J761" s="341"/>
      <c r="K761" s="341"/>
      <c r="L761" s="341"/>
      <c r="M761" s="342"/>
      <c r="N761" s="341"/>
      <c r="O761" s="338">
        <f t="shared" si="303"/>
        <v>0</v>
      </c>
      <c r="P761" s="341"/>
      <c r="Q761" s="431"/>
      <c r="T761" s="418"/>
    </row>
    <row r="762" spans="3:20" ht="15" hidden="1" outlineLevel="2">
      <c r="C762" s="1486"/>
      <c r="D762" s="1464"/>
      <c r="E762" s="1459"/>
      <c r="F762" s="1462"/>
      <c r="G762" s="343"/>
      <c r="H762" s="335" t="s">
        <v>22</v>
      </c>
      <c r="I762" s="341"/>
      <c r="J762" s="341"/>
      <c r="K762" s="341"/>
      <c r="L762" s="341"/>
      <c r="M762" s="342"/>
      <c r="N762" s="341"/>
      <c r="O762" s="338">
        <f t="shared" si="303"/>
        <v>0</v>
      </c>
      <c r="P762" s="341"/>
      <c r="Q762" s="431"/>
      <c r="T762" s="418"/>
    </row>
    <row r="763" spans="3:20" ht="15" hidden="1" outlineLevel="2">
      <c r="C763" s="1486"/>
      <c r="D763" s="1464"/>
      <c r="E763" s="1459"/>
      <c r="F763" s="1462"/>
      <c r="G763" s="343"/>
      <c r="H763" s="335" t="s">
        <v>22</v>
      </c>
      <c r="I763" s="341"/>
      <c r="J763" s="341"/>
      <c r="K763" s="341"/>
      <c r="L763" s="341"/>
      <c r="M763" s="342"/>
      <c r="N763" s="341"/>
      <c r="O763" s="338">
        <f t="shared" si="303"/>
        <v>0</v>
      </c>
      <c r="P763" s="341"/>
      <c r="Q763" s="431"/>
      <c r="T763" s="418"/>
    </row>
    <row r="764" spans="3:20" ht="15" hidden="1" outlineLevel="2">
      <c r="C764" s="1486"/>
      <c r="D764" s="1464"/>
      <c r="E764" s="1459"/>
      <c r="F764" s="1462"/>
      <c r="G764" s="343"/>
      <c r="H764" s="335" t="s">
        <v>22</v>
      </c>
      <c r="I764" s="341"/>
      <c r="J764" s="341"/>
      <c r="K764" s="341"/>
      <c r="L764" s="341"/>
      <c r="M764" s="342"/>
      <c r="N764" s="341"/>
      <c r="O764" s="338">
        <f t="shared" si="303"/>
        <v>0</v>
      </c>
      <c r="P764" s="341"/>
      <c r="Q764" s="431"/>
      <c r="T764" s="418"/>
    </row>
    <row r="765" spans="3:20" ht="15" hidden="1" outlineLevel="2">
      <c r="C765" s="1486"/>
      <c r="D765" s="1464"/>
      <c r="E765" s="1459"/>
      <c r="F765" s="1462"/>
      <c r="G765" s="343"/>
      <c r="H765" s="335" t="s">
        <v>22</v>
      </c>
      <c r="I765" s="341"/>
      <c r="J765" s="341"/>
      <c r="K765" s="341"/>
      <c r="L765" s="341"/>
      <c r="M765" s="342"/>
      <c r="N765" s="341"/>
      <c r="O765" s="338">
        <f t="shared" si="303"/>
        <v>0</v>
      </c>
      <c r="P765" s="341"/>
      <c r="Q765" s="431"/>
      <c r="T765" s="418"/>
    </row>
    <row r="766" spans="3:20" ht="15" hidden="1" outlineLevel="2">
      <c r="C766" s="1486"/>
      <c r="D766" s="1464"/>
      <c r="E766" s="1459"/>
      <c r="F766" s="1462"/>
      <c r="G766" s="344"/>
      <c r="H766" s="335" t="s">
        <v>22</v>
      </c>
      <c r="I766" s="345"/>
      <c r="J766" s="345"/>
      <c r="K766" s="345"/>
      <c r="L766" s="345"/>
      <c r="M766" s="346"/>
      <c r="N766" s="345"/>
      <c r="O766" s="338">
        <f t="shared" si="303"/>
        <v>0</v>
      </c>
      <c r="P766" s="345"/>
      <c r="Q766" s="432"/>
      <c r="T766" s="418"/>
    </row>
    <row r="767" spans="3:20" ht="15" hidden="1" outlineLevel="2">
      <c r="C767" s="1486"/>
      <c r="D767" s="1464"/>
      <c r="E767" s="1459"/>
      <c r="F767" s="1462"/>
      <c r="G767" s="343"/>
      <c r="H767" s="335" t="s">
        <v>22</v>
      </c>
      <c r="I767" s="341"/>
      <c r="J767" s="341"/>
      <c r="K767" s="341"/>
      <c r="L767" s="341"/>
      <c r="M767" s="342"/>
      <c r="N767" s="341"/>
      <c r="O767" s="338">
        <f t="shared" si="303"/>
        <v>0</v>
      </c>
      <c r="P767" s="341"/>
      <c r="Q767" s="431"/>
      <c r="T767" s="418"/>
    </row>
    <row r="768" spans="3:20" ht="15" hidden="1" outlineLevel="2">
      <c r="C768" s="1486"/>
      <c r="D768" s="1464"/>
      <c r="E768" s="1459"/>
      <c r="F768" s="1462"/>
      <c r="G768" s="1454" t="s">
        <v>44</v>
      </c>
      <c r="H768" s="1455"/>
      <c r="I768" s="371">
        <f>SUM(I758:I767)</f>
        <v>0</v>
      </c>
      <c r="J768" s="371">
        <f t="shared" ref="J768:K768" si="319">SUM(J758:J767)</f>
        <v>0</v>
      </c>
      <c r="K768" s="371">
        <f t="shared" si="319"/>
        <v>0</v>
      </c>
      <c r="L768" s="371">
        <f t="shared" ref="L768" si="320">SUM(L758:L767)</f>
        <v>0</v>
      </c>
      <c r="M768" s="359"/>
      <c r="N768" s="371">
        <f>N758</f>
        <v>0</v>
      </c>
      <c r="O768" s="367">
        <f t="shared" ref="O768:O831" si="321">IF(N768=0,0,N768/J768)</f>
        <v>0</v>
      </c>
      <c r="P768" s="371">
        <f t="shared" ref="P768:Q768" si="322">SUM(P758:P767)</f>
        <v>0</v>
      </c>
      <c r="Q768" s="438">
        <f t="shared" si="322"/>
        <v>0</v>
      </c>
      <c r="T768" s="418"/>
    </row>
    <row r="769" spans="1:26" ht="15" hidden="1" outlineLevel="1" collapsed="1">
      <c r="C769" s="1486"/>
      <c r="D769" s="1464"/>
      <c r="E769" s="1459"/>
      <c r="F769" s="1463"/>
      <c r="G769" s="1454" t="s">
        <v>177</v>
      </c>
      <c r="H769" s="1455"/>
      <c r="I769" s="371">
        <f>(I757*jodrate)+I768</f>
        <v>0</v>
      </c>
      <c r="J769" s="371">
        <f>(J757*jodrate)+J768</f>
        <v>0</v>
      </c>
      <c r="K769" s="371">
        <f>(K757*jodrate)+K768</f>
        <v>0</v>
      </c>
      <c r="L769" s="371">
        <f>(L757*jodrate)+L768</f>
        <v>0</v>
      </c>
      <c r="M769" s="359"/>
      <c r="N769" s="371">
        <f>(N757*jodrate)+N768</f>
        <v>0</v>
      </c>
      <c r="O769" s="367">
        <f t="shared" si="321"/>
        <v>0</v>
      </c>
      <c r="P769" s="371">
        <f>(P757*jodrate)+P768</f>
        <v>0</v>
      </c>
      <c r="Q769" s="438">
        <f>(Q757*jodrate)+Q768</f>
        <v>0</v>
      </c>
      <c r="T769" s="418"/>
    </row>
    <row r="770" spans="1:26" ht="16.5" collapsed="1" thickTop="1" thickBot="1">
      <c r="C770" s="1487"/>
      <c r="D770" s="1465"/>
      <c r="E770" s="1460"/>
      <c r="F770" s="1456" t="s">
        <v>176</v>
      </c>
      <c r="G770" s="1457"/>
      <c r="H770" s="1457"/>
      <c r="I770" s="372">
        <f>I578+I644+I678+I712+I746+I769</f>
        <v>0</v>
      </c>
      <c r="J770" s="372">
        <f>J578+J644+J678+J712+J746+J769</f>
        <v>0</v>
      </c>
      <c r="K770" s="372">
        <f>K578+K644+K678+K712+K746+K769</f>
        <v>0</v>
      </c>
      <c r="L770" s="372">
        <f>L578+L644+L678+L712+L746+L769</f>
        <v>0</v>
      </c>
      <c r="M770" s="372"/>
      <c r="N770" s="372">
        <f>N578+N644+N678+N712+N746+N769</f>
        <v>0</v>
      </c>
      <c r="O770" s="373">
        <f t="shared" si="321"/>
        <v>0</v>
      </c>
      <c r="P770" s="372">
        <f>P578+P644+P678+P712+P746+P769</f>
        <v>0</v>
      </c>
      <c r="Q770" s="439">
        <f>Q578+Q644+Q678+Q712+Q746+Q769</f>
        <v>0</v>
      </c>
      <c r="T770" s="418"/>
    </row>
    <row r="771" spans="1:26" ht="15.75" hidden="1" outlineLevel="2" thickTop="1">
      <c r="A771" s="39" t="s">
        <v>28</v>
      </c>
      <c r="B771" s="47">
        <v>3.5000000000000003E-2</v>
      </c>
      <c r="C771" s="1464">
        <f>التوصية!$B$79</f>
        <v>0</v>
      </c>
      <c r="D771" s="1464"/>
      <c r="E771" s="1466" t="s">
        <v>167</v>
      </c>
      <c r="F771" s="1468" t="s">
        <v>169</v>
      </c>
      <c r="G771" s="381"/>
      <c r="H771" s="362" t="s">
        <v>4</v>
      </c>
      <c r="I771" s="364"/>
      <c r="J771" s="364"/>
      <c r="K771" s="364" t="e">
        <f t="shared" ref="K771:K780" si="323">Z771</f>
        <v>#DIV/0!</v>
      </c>
      <c r="L771" s="364">
        <f t="shared" ref="L771:L780" si="324">AA771</f>
        <v>0</v>
      </c>
      <c r="M771" s="411"/>
      <c r="N771" s="364"/>
      <c r="O771" s="358">
        <f t="shared" si="321"/>
        <v>0</v>
      </c>
      <c r="P771" s="364"/>
      <c r="Q771" s="446"/>
      <c r="R771" s="428">
        <f t="shared" ref="R771:R803" si="325">IF(H771="USD",$B$4,IF(H771="ILS",$B$2,IF(H771="JOD",$B$3,"")))</f>
        <v>0.05</v>
      </c>
      <c r="S771" s="45">
        <f>J771*R771</f>
        <v>0</v>
      </c>
      <c r="T771" s="425">
        <f>I771*R771</f>
        <v>0</v>
      </c>
      <c r="U771" s="46"/>
      <c r="V771" s="407">
        <f>U771/12</f>
        <v>0</v>
      </c>
      <c r="W771" s="45">
        <f>T771*V771</f>
        <v>0</v>
      </c>
      <c r="X771" s="45">
        <f>W771/usdrate</f>
        <v>0</v>
      </c>
      <c r="Y771" s="45">
        <f t="shared" ref="Y771:Y780" si="326">I771+W771</f>
        <v>0</v>
      </c>
      <c r="Z771" s="45" t="e">
        <f>Y771/U771</f>
        <v>#DIV/0!</v>
      </c>
    </row>
    <row r="772" spans="1:26" ht="15" hidden="1" outlineLevel="2">
      <c r="A772" s="40" t="s">
        <v>22</v>
      </c>
      <c r="B772" s="48">
        <v>3.5000000000000003E-2</v>
      </c>
      <c r="C772" s="1464"/>
      <c r="D772" s="1464"/>
      <c r="E772" s="1466"/>
      <c r="F772" s="1468"/>
      <c r="G772" s="339"/>
      <c r="H772" s="340" t="s">
        <v>4</v>
      </c>
      <c r="I772" s="341"/>
      <c r="J772" s="341"/>
      <c r="K772" s="336" t="e">
        <f t="shared" si="323"/>
        <v>#DIV/0!</v>
      </c>
      <c r="L772" s="336">
        <f t="shared" si="324"/>
        <v>0</v>
      </c>
      <c r="M772" s="342"/>
      <c r="N772" s="341"/>
      <c r="O772" s="338">
        <f t="shared" si="321"/>
        <v>0</v>
      </c>
      <c r="P772" s="341"/>
      <c r="Q772" s="431"/>
      <c r="R772" s="428">
        <f t="shared" si="325"/>
        <v>0.05</v>
      </c>
      <c r="S772" s="45">
        <f t="shared" ref="S772:S780" si="327">R772*J772</f>
        <v>0</v>
      </c>
      <c r="T772" s="425">
        <f t="shared" ref="T772:T780" si="328">R772*I772</f>
        <v>0</v>
      </c>
      <c r="U772" s="46"/>
      <c r="V772" s="407">
        <f>U772/12</f>
        <v>0</v>
      </c>
      <c r="W772" s="45">
        <f>T772*V772</f>
        <v>0</v>
      </c>
      <c r="X772" s="45">
        <f>W772/usdrate</f>
        <v>0</v>
      </c>
      <c r="Y772" s="45">
        <f t="shared" si="326"/>
        <v>0</v>
      </c>
      <c r="Z772" s="45" t="e">
        <f>Y772/U772</f>
        <v>#DIV/0!</v>
      </c>
    </row>
    <row r="773" spans="1:26" ht="15" hidden="1" outlineLevel="2">
      <c r="C773" s="1464"/>
      <c r="D773" s="1464"/>
      <c r="E773" s="1466"/>
      <c r="F773" s="1468"/>
      <c r="G773" s="343"/>
      <c r="H773" s="340" t="s">
        <v>4</v>
      </c>
      <c r="I773" s="341"/>
      <c r="J773" s="341"/>
      <c r="K773" s="341" t="e">
        <f t="shared" si="323"/>
        <v>#DIV/0!</v>
      </c>
      <c r="L773" s="341">
        <f t="shared" si="324"/>
        <v>0</v>
      </c>
      <c r="M773" s="337"/>
      <c r="N773" s="341"/>
      <c r="O773" s="338">
        <f t="shared" si="321"/>
        <v>0</v>
      </c>
      <c r="P773" s="341"/>
      <c r="Q773" s="431"/>
      <c r="R773" s="428">
        <f t="shared" si="325"/>
        <v>0.05</v>
      </c>
      <c r="S773" s="45">
        <f t="shared" si="327"/>
        <v>0</v>
      </c>
      <c r="T773" s="425">
        <f t="shared" si="328"/>
        <v>0</v>
      </c>
      <c r="U773" s="46"/>
      <c r="V773" s="407">
        <f t="shared" ref="V773:V780" si="329">U773/12</f>
        <v>0</v>
      </c>
      <c r="W773" s="45">
        <f t="shared" ref="W773:W780" si="330">T773*V773</f>
        <v>0</v>
      </c>
      <c r="X773" s="45"/>
      <c r="Y773" s="45">
        <f t="shared" si="326"/>
        <v>0</v>
      </c>
      <c r="Z773" s="45" t="e">
        <f t="shared" ref="Z773:Z780" si="331">Y773/U773</f>
        <v>#DIV/0!</v>
      </c>
    </row>
    <row r="774" spans="1:26" ht="15" hidden="1" outlineLevel="2">
      <c r="C774" s="1464"/>
      <c r="D774" s="1464"/>
      <c r="E774" s="1466"/>
      <c r="F774" s="1468"/>
      <c r="G774" s="343"/>
      <c r="H774" s="340" t="s">
        <v>4</v>
      </c>
      <c r="I774" s="341"/>
      <c r="J774" s="341"/>
      <c r="K774" s="341" t="e">
        <f t="shared" si="323"/>
        <v>#DIV/0!</v>
      </c>
      <c r="L774" s="341">
        <f t="shared" si="324"/>
        <v>0</v>
      </c>
      <c r="M774" s="342"/>
      <c r="N774" s="341"/>
      <c r="O774" s="338">
        <f t="shared" si="321"/>
        <v>0</v>
      </c>
      <c r="P774" s="341"/>
      <c r="Q774" s="431"/>
      <c r="R774" s="428">
        <f t="shared" si="325"/>
        <v>0.05</v>
      </c>
      <c r="S774" s="45">
        <f t="shared" si="327"/>
        <v>0</v>
      </c>
      <c r="T774" s="425">
        <f t="shared" si="328"/>
        <v>0</v>
      </c>
      <c r="U774" s="46"/>
      <c r="V774" s="407">
        <f t="shared" si="329"/>
        <v>0</v>
      </c>
      <c r="W774" s="45">
        <f t="shared" si="330"/>
        <v>0</v>
      </c>
      <c r="X774" s="45"/>
      <c r="Y774" s="45">
        <f t="shared" si="326"/>
        <v>0</v>
      </c>
      <c r="Z774" s="45" t="e">
        <f t="shared" si="331"/>
        <v>#DIV/0!</v>
      </c>
    </row>
    <row r="775" spans="1:26" ht="15" hidden="1" outlineLevel="2">
      <c r="C775" s="1464"/>
      <c r="D775" s="1464"/>
      <c r="E775" s="1466"/>
      <c r="F775" s="1468"/>
      <c r="G775" s="343"/>
      <c r="H775" s="340" t="s">
        <v>4</v>
      </c>
      <c r="I775" s="341"/>
      <c r="J775" s="341"/>
      <c r="K775" s="341" t="e">
        <f t="shared" si="323"/>
        <v>#DIV/0!</v>
      </c>
      <c r="L775" s="341">
        <f t="shared" si="324"/>
        <v>0</v>
      </c>
      <c r="M775" s="342"/>
      <c r="N775" s="341"/>
      <c r="O775" s="338">
        <f t="shared" si="321"/>
        <v>0</v>
      </c>
      <c r="P775" s="341"/>
      <c r="Q775" s="431"/>
      <c r="R775" s="428">
        <f t="shared" si="325"/>
        <v>0.05</v>
      </c>
      <c r="S775" s="45">
        <f t="shared" si="327"/>
        <v>0</v>
      </c>
      <c r="T775" s="425">
        <f t="shared" si="328"/>
        <v>0</v>
      </c>
      <c r="U775" s="46"/>
      <c r="V775" s="407">
        <f t="shared" si="329"/>
        <v>0</v>
      </c>
      <c r="W775" s="45">
        <f t="shared" si="330"/>
        <v>0</v>
      </c>
      <c r="X775" s="45"/>
      <c r="Y775" s="45">
        <f t="shared" si="326"/>
        <v>0</v>
      </c>
      <c r="Z775" s="45" t="e">
        <f t="shared" si="331"/>
        <v>#DIV/0!</v>
      </c>
    </row>
    <row r="776" spans="1:26" ht="15" hidden="1" outlineLevel="2">
      <c r="C776" s="1464"/>
      <c r="D776" s="1464"/>
      <c r="E776" s="1466"/>
      <c r="F776" s="1468"/>
      <c r="G776" s="343"/>
      <c r="H776" s="340" t="s">
        <v>4</v>
      </c>
      <c r="I776" s="341"/>
      <c r="J776" s="341"/>
      <c r="K776" s="341" t="e">
        <f t="shared" si="323"/>
        <v>#DIV/0!</v>
      </c>
      <c r="L776" s="341">
        <f t="shared" si="324"/>
        <v>0</v>
      </c>
      <c r="M776" s="342"/>
      <c r="N776" s="341"/>
      <c r="O776" s="338">
        <f t="shared" si="321"/>
        <v>0</v>
      </c>
      <c r="P776" s="341"/>
      <c r="Q776" s="431"/>
      <c r="R776" s="428">
        <f t="shared" si="325"/>
        <v>0.05</v>
      </c>
      <c r="S776" s="45">
        <f t="shared" si="327"/>
        <v>0</v>
      </c>
      <c r="T776" s="425">
        <f t="shared" si="328"/>
        <v>0</v>
      </c>
      <c r="U776" s="46"/>
      <c r="V776" s="407">
        <f t="shared" si="329"/>
        <v>0</v>
      </c>
      <c r="W776" s="45">
        <f t="shared" si="330"/>
        <v>0</v>
      </c>
      <c r="X776" s="45"/>
      <c r="Y776" s="45">
        <f t="shared" si="326"/>
        <v>0</v>
      </c>
      <c r="Z776" s="45" t="e">
        <f t="shared" si="331"/>
        <v>#DIV/0!</v>
      </c>
    </row>
    <row r="777" spans="1:26" ht="15" hidden="1" outlineLevel="2">
      <c r="C777" s="1464"/>
      <c r="D777" s="1464"/>
      <c r="E777" s="1466"/>
      <c r="F777" s="1468"/>
      <c r="G777" s="343"/>
      <c r="H777" s="340" t="s">
        <v>4</v>
      </c>
      <c r="I777" s="341"/>
      <c r="J777" s="341"/>
      <c r="K777" s="341" t="e">
        <f t="shared" si="323"/>
        <v>#DIV/0!</v>
      </c>
      <c r="L777" s="341">
        <f t="shared" si="324"/>
        <v>0</v>
      </c>
      <c r="M777" s="342"/>
      <c r="N777" s="341"/>
      <c r="O777" s="338">
        <f t="shared" si="321"/>
        <v>0</v>
      </c>
      <c r="P777" s="341"/>
      <c r="Q777" s="431"/>
      <c r="R777" s="428">
        <f t="shared" si="325"/>
        <v>0.05</v>
      </c>
      <c r="S777" s="45">
        <f t="shared" si="327"/>
        <v>0</v>
      </c>
      <c r="T777" s="425">
        <f t="shared" si="328"/>
        <v>0</v>
      </c>
      <c r="U777" s="46"/>
      <c r="V777" s="407">
        <f t="shared" si="329"/>
        <v>0</v>
      </c>
      <c r="W777" s="45">
        <f t="shared" si="330"/>
        <v>0</v>
      </c>
      <c r="X777" s="45"/>
      <c r="Y777" s="45">
        <f t="shared" si="326"/>
        <v>0</v>
      </c>
      <c r="Z777" s="45" t="e">
        <f t="shared" si="331"/>
        <v>#DIV/0!</v>
      </c>
    </row>
    <row r="778" spans="1:26" ht="15" hidden="1" outlineLevel="2">
      <c r="C778" s="1464"/>
      <c r="D778" s="1464"/>
      <c r="E778" s="1466"/>
      <c r="F778" s="1468"/>
      <c r="G778" s="343"/>
      <c r="H778" s="340" t="s">
        <v>4</v>
      </c>
      <c r="I778" s="341"/>
      <c r="J778" s="341"/>
      <c r="K778" s="341" t="e">
        <f t="shared" si="323"/>
        <v>#DIV/0!</v>
      </c>
      <c r="L778" s="341">
        <f t="shared" si="324"/>
        <v>0</v>
      </c>
      <c r="M778" s="342"/>
      <c r="N778" s="341"/>
      <c r="O778" s="338">
        <f t="shared" si="321"/>
        <v>0</v>
      </c>
      <c r="P778" s="341"/>
      <c r="Q778" s="431"/>
      <c r="R778" s="428">
        <f t="shared" si="325"/>
        <v>0.05</v>
      </c>
      <c r="S778" s="45">
        <f t="shared" si="327"/>
        <v>0</v>
      </c>
      <c r="T778" s="425">
        <f t="shared" si="328"/>
        <v>0</v>
      </c>
      <c r="U778" s="46"/>
      <c r="V778" s="407">
        <f t="shared" si="329"/>
        <v>0</v>
      </c>
      <c r="W778" s="45">
        <f t="shared" si="330"/>
        <v>0</v>
      </c>
      <c r="X778" s="45"/>
      <c r="Y778" s="45">
        <f t="shared" si="326"/>
        <v>0</v>
      </c>
      <c r="Z778" s="45" t="e">
        <f t="shared" si="331"/>
        <v>#DIV/0!</v>
      </c>
    </row>
    <row r="779" spans="1:26" ht="15" hidden="1" outlineLevel="2">
      <c r="C779" s="1464"/>
      <c r="D779" s="1464"/>
      <c r="E779" s="1466"/>
      <c r="F779" s="1468"/>
      <c r="G779" s="344"/>
      <c r="H779" s="340" t="s">
        <v>4</v>
      </c>
      <c r="I779" s="345"/>
      <c r="J779" s="345"/>
      <c r="K779" s="341" t="e">
        <f t="shared" si="323"/>
        <v>#DIV/0!</v>
      </c>
      <c r="L779" s="341">
        <f t="shared" si="324"/>
        <v>0</v>
      </c>
      <c r="M779" s="346"/>
      <c r="N779" s="345"/>
      <c r="O779" s="338">
        <f t="shared" si="321"/>
        <v>0</v>
      </c>
      <c r="P779" s="345"/>
      <c r="Q779" s="432"/>
      <c r="R779" s="428">
        <f t="shared" si="325"/>
        <v>0.05</v>
      </c>
      <c r="S779" s="45">
        <f t="shared" si="327"/>
        <v>0</v>
      </c>
      <c r="T779" s="425">
        <f t="shared" si="328"/>
        <v>0</v>
      </c>
      <c r="U779" s="46"/>
      <c r="V779" s="407">
        <f t="shared" si="329"/>
        <v>0</v>
      </c>
      <c r="W779" s="45">
        <f t="shared" si="330"/>
        <v>0</v>
      </c>
      <c r="X779" s="45"/>
      <c r="Y779" s="45">
        <f t="shared" si="326"/>
        <v>0</v>
      </c>
      <c r="Z779" s="45" t="e">
        <f t="shared" si="331"/>
        <v>#DIV/0!</v>
      </c>
    </row>
    <row r="780" spans="1:26" ht="15" hidden="1" outlineLevel="2">
      <c r="C780" s="1464"/>
      <c r="D780" s="1464"/>
      <c r="E780" s="1466"/>
      <c r="F780" s="1468"/>
      <c r="G780" s="343"/>
      <c r="H780" s="340" t="s">
        <v>4</v>
      </c>
      <c r="I780" s="341"/>
      <c r="J780" s="341"/>
      <c r="K780" s="341" t="e">
        <f t="shared" si="323"/>
        <v>#DIV/0!</v>
      </c>
      <c r="L780" s="341">
        <f t="shared" si="324"/>
        <v>0</v>
      </c>
      <c r="M780" s="342"/>
      <c r="N780" s="341"/>
      <c r="O780" s="338">
        <f t="shared" si="321"/>
        <v>0</v>
      </c>
      <c r="P780" s="341"/>
      <c r="Q780" s="431"/>
      <c r="R780" s="428">
        <f t="shared" si="325"/>
        <v>0.05</v>
      </c>
      <c r="S780" s="45">
        <f t="shared" si="327"/>
        <v>0</v>
      </c>
      <c r="T780" s="425">
        <f t="shared" si="328"/>
        <v>0</v>
      </c>
      <c r="U780" s="46"/>
      <c r="V780" s="407">
        <f t="shared" si="329"/>
        <v>0</v>
      </c>
      <c r="W780" s="45">
        <f t="shared" si="330"/>
        <v>0</v>
      </c>
      <c r="X780" s="45"/>
      <c r="Y780" s="45">
        <f t="shared" si="326"/>
        <v>0</v>
      </c>
      <c r="Z780" s="45" t="e">
        <f t="shared" si="331"/>
        <v>#DIV/0!</v>
      </c>
    </row>
    <row r="781" spans="1:26" ht="15" hidden="1" outlineLevel="2">
      <c r="C781" s="1464"/>
      <c r="D781" s="1464"/>
      <c r="E781" s="1466"/>
      <c r="F781" s="1468"/>
      <c r="G781" s="1470" t="s">
        <v>45</v>
      </c>
      <c r="H781" s="1471"/>
      <c r="I781" s="347">
        <f>SUM(I771:I780)</f>
        <v>0</v>
      </c>
      <c r="J781" s="347">
        <f t="shared" ref="J781" si="332">SUM(J771:J780)</f>
        <v>0</v>
      </c>
      <c r="K781" s="347">
        <f>SUMIFS(K771:K780,K771:K780,"&lt;&gt;",K771:K780,"&lt;"&amp;99^99)</f>
        <v>0</v>
      </c>
      <c r="L781" s="347">
        <f>SUMIFS(L771:L780,L771:L780,"&lt;&gt;",L771:L780,"&lt;"&amp;99^99)</f>
        <v>0</v>
      </c>
      <c r="M781" s="348"/>
      <c r="N781" s="347">
        <f>N771</f>
        <v>0</v>
      </c>
      <c r="O781" s="349">
        <f t="shared" si="321"/>
        <v>0</v>
      </c>
      <c r="P781" s="347">
        <f t="shared" ref="P781:Q781" si="333">SUM(P771:P780)</f>
        <v>0</v>
      </c>
      <c r="Q781" s="433">
        <f t="shared" si="333"/>
        <v>0</v>
      </c>
      <c r="R781" s="55" t="str">
        <f t="shared" si="325"/>
        <v/>
      </c>
      <c r="S781" s="408">
        <f>SUM(S771:S780)</f>
        <v>0</v>
      </c>
      <c r="T781" s="426">
        <f t="shared" ref="T781" si="334">SUM(T771:T780)</f>
        <v>0</v>
      </c>
      <c r="U781" s="408"/>
      <c r="V781" s="408"/>
      <c r="W781" s="408">
        <f t="shared" ref="W781" si="335">SUM(W771:W780)</f>
        <v>0</v>
      </c>
      <c r="X781" s="408"/>
      <c r="Y781" s="408">
        <f t="shared" ref="Y781" si="336">SUM(Y771:Y780)</f>
        <v>0</v>
      </c>
      <c r="Z781" s="408">
        <f>SUMIFS(Z771:Z780,Y771:Y780,"&lt;&gt;",Z771:Z780,"&lt;"&amp;99^99)</f>
        <v>0</v>
      </c>
    </row>
    <row r="782" spans="1:26" ht="15" hidden="1" outlineLevel="2">
      <c r="C782" s="1464"/>
      <c r="D782" s="1464"/>
      <c r="E782" s="1466"/>
      <c r="F782" s="1468"/>
      <c r="G782" s="350"/>
      <c r="H782" s="335" t="s">
        <v>28</v>
      </c>
      <c r="I782" s="336"/>
      <c r="J782" s="336"/>
      <c r="K782" s="341" t="e">
        <f t="shared" ref="K782:K791" si="337">Z782</f>
        <v>#DIV/0!</v>
      </c>
      <c r="L782" s="341">
        <f t="shared" ref="L782:L791" si="338">AA782</f>
        <v>0</v>
      </c>
      <c r="M782" s="337"/>
      <c r="N782" s="336"/>
      <c r="O782" s="338">
        <f t="shared" si="321"/>
        <v>0</v>
      </c>
      <c r="P782" s="336"/>
      <c r="Q782" s="430"/>
      <c r="R782" s="428">
        <f t="shared" si="325"/>
        <v>3.5000000000000003E-2</v>
      </c>
      <c r="S782" s="45">
        <f t="shared" ref="S782:S791" si="339">R782*J782</f>
        <v>0</v>
      </c>
      <c r="T782" s="425">
        <f t="shared" ref="T782:T791" si="340">R782*I782</f>
        <v>0</v>
      </c>
      <c r="U782" s="46"/>
      <c r="V782" s="407">
        <f t="shared" ref="V782:V791" si="341">U782/12</f>
        <v>0</v>
      </c>
      <c r="W782" s="45">
        <f t="shared" ref="W782:W791" si="342">T782*V782</f>
        <v>0</v>
      </c>
      <c r="X782" s="45"/>
      <c r="Y782" s="45">
        <f t="shared" ref="Y782:Y791" si="343">I782+W782</f>
        <v>0</v>
      </c>
      <c r="Z782" s="45" t="e">
        <f t="shared" ref="Z782:Z791" si="344">Y782/U782</f>
        <v>#DIV/0!</v>
      </c>
    </row>
    <row r="783" spans="1:26" ht="15" hidden="1" outlineLevel="2">
      <c r="C783" s="1464"/>
      <c r="D783" s="1464"/>
      <c r="E783" s="1466"/>
      <c r="F783" s="1468"/>
      <c r="G783" s="343"/>
      <c r="H783" s="335" t="s">
        <v>28</v>
      </c>
      <c r="I783" s="341"/>
      <c r="J783" s="341"/>
      <c r="K783" s="341" t="e">
        <f t="shared" si="337"/>
        <v>#DIV/0!</v>
      </c>
      <c r="L783" s="341">
        <f t="shared" si="338"/>
        <v>0</v>
      </c>
      <c r="M783" s="342"/>
      <c r="N783" s="341"/>
      <c r="O783" s="338">
        <f t="shared" si="321"/>
        <v>0</v>
      </c>
      <c r="P783" s="341"/>
      <c r="Q783" s="431"/>
      <c r="R783" s="428">
        <f t="shared" si="325"/>
        <v>3.5000000000000003E-2</v>
      </c>
      <c r="S783" s="45">
        <f t="shared" si="339"/>
        <v>0</v>
      </c>
      <c r="T783" s="425">
        <f t="shared" si="340"/>
        <v>0</v>
      </c>
      <c r="U783" s="46"/>
      <c r="V783" s="407">
        <f t="shared" si="341"/>
        <v>0</v>
      </c>
      <c r="W783" s="45">
        <f t="shared" si="342"/>
        <v>0</v>
      </c>
      <c r="X783" s="45"/>
      <c r="Y783" s="45">
        <f t="shared" si="343"/>
        <v>0</v>
      </c>
      <c r="Z783" s="45" t="e">
        <f t="shared" si="344"/>
        <v>#DIV/0!</v>
      </c>
    </row>
    <row r="784" spans="1:26" ht="15" hidden="1" outlineLevel="2">
      <c r="C784" s="1464"/>
      <c r="D784" s="1464"/>
      <c r="E784" s="1466"/>
      <c r="F784" s="1468"/>
      <c r="G784" s="343"/>
      <c r="H784" s="335" t="s">
        <v>28</v>
      </c>
      <c r="I784" s="341"/>
      <c r="J784" s="341"/>
      <c r="K784" s="341" t="e">
        <f t="shared" si="337"/>
        <v>#DIV/0!</v>
      </c>
      <c r="L784" s="341">
        <f t="shared" si="338"/>
        <v>0</v>
      </c>
      <c r="M784" s="337"/>
      <c r="N784" s="341"/>
      <c r="O784" s="338">
        <f t="shared" si="321"/>
        <v>0</v>
      </c>
      <c r="P784" s="341"/>
      <c r="Q784" s="431"/>
      <c r="R784" s="428">
        <f t="shared" si="325"/>
        <v>3.5000000000000003E-2</v>
      </c>
      <c r="S784" s="45">
        <f t="shared" si="339"/>
        <v>0</v>
      </c>
      <c r="T784" s="425">
        <f t="shared" si="340"/>
        <v>0</v>
      </c>
      <c r="U784" s="46"/>
      <c r="V784" s="407">
        <f t="shared" si="341"/>
        <v>0</v>
      </c>
      <c r="W784" s="45">
        <f t="shared" si="342"/>
        <v>0</v>
      </c>
      <c r="X784" s="45"/>
      <c r="Y784" s="45">
        <f t="shared" si="343"/>
        <v>0</v>
      </c>
      <c r="Z784" s="45" t="e">
        <f t="shared" si="344"/>
        <v>#DIV/0!</v>
      </c>
    </row>
    <row r="785" spans="3:26" ht="15" hidden="1" outlineLevel="2">
      <c r="C785" s="1464"/>
      <c r="D785" s="1464"/>
      <c r="E785" s="1466"/>
      <c r="F785" s="1468"/>
      <c r="G785" s="343"/>
      <c r="H785" s="335" t="s">
        <v>28</v>
      </c>
      <c r="I785" s="341"/>
      <c r="J785" s="341"/>
      <c r="K785" s="341" t="e">
        <f t="shared" si="337"/>
        <v>#DIV/0!</v>
      </c>
      <c r="L785" s="341">
        <f t="shared" si="338"/>
        <v>0</v>
      </c>
      <c r="M785" s="342"/>
      <c r="N785" s="341"/>
      <c r="O785" s="338">
        <f t="shared" si="321"/>
        <v>0</v>
      </c>
      <c r="P785" s="341"/>
      <c r="Q785" s="431"/>
      <c r="R785" s="428">
        <f t="shared" si="325"/>
        <v>3.5000000000000003E-2</v>
      </c>
      <c r="S785" s="45">
        <f t="shared" si="339"/>
        <v>0</v>
      </c>
      <c r="T785" s="425">
        <f t="shared" si="340"/>
        <v>0</v>
      </c>
      <c r="U785" s="46"/>
      <c r="V785" s="407">
        <f t="shared" si="341"/>
        <v>0</v>
      </c>
      <c r="W785" s="45">
        <f t="shared" si="342"/>
        <v>0</v>
      </c>
      <c r="X785" s="45"/>
      <c r="Y785" s="45">
        <f t="shared" si="343"/>
        <v>0</v>
      </c>
      <c r="Z785" s="45" t="e">
        <f t="shared" si="344"/>
        <v>#DIV/0!</v>
      </c>
    </row>
    <row r="786" spans="3:26" ht="15" hidden="1" outlineLevel="2">
      <c r="C786" s="1464"/>
      <c r="D786" s="1464"/>
      <c r="E786" s="1466"/>
      <c r="F786" s="1468"/>
      <c r="G786" s="343"/>
      <c r="H786" s="335" t="s">
        <v>28</v>
      </c>
      <c r="I786" s="341"/>
      <c r="J786" s="341"/>
      <c r="K786" s="341" t="e">
        <f t="shared" si="337"/>
        <v>#DIV/0!</v>
      </c>
      <c r="L786" s="341">
        <f t="shared" si="338"/>
        <v>0</v>
      </c>
      <c r="M786" s="342"/>
      <c r="N786" s="341"/>
      <c r="O786" s="338">
        <f t="shared" si="321"/>
        <v>0</v>
      </c>
      <c r="P786" s="341"/>
      <c r="Q786" s="431"/>
      <c r="R786" s="428">
        <f t="shared" si="325"/>
        <v>3.5000000000000003E-2</v>
      </c>
      <c r="S786" s="45">
        <f t="shared" si="339"/>
        <v>0</v>
      </c>
      <c r="T786" s="425">
        <f t="shared" si="340"/>
        <v>0</v>
      </c>
      <c r="U786" s="46"/>
      <c r="V786" s="407">
        <f t="shared" si="341"/>
        <v>0</v>
      </c>
      <c r="W786" s="45">
        <f t="shared" si="342"/>
        <v>0</v>
      </c>
      <c r="X786" s="45"/>
      <c r="Y786" s="45">
        <f t="shared" si="343"/>
        <v>0</v>
      </c>
      <c r="Z786" s="45" t="e">
        <f t="shared" si="344"/>
        <v>#DIV/0!</v>
      </c>
    </row>
    <row r="787" spans="3:26" ht="15" hidden="1" outlineLevel="2">
      <c r="C787" s="1464"/>
      <c r="D787" s="1464"/>
      <c r="E787" s="1466"/>
      <c r="F787" s="1468"/>
      <c r="G787" s="343"/>
      <c r="H787" s="335" t="s">
        <v>28</v>
      </c>
      <c r="I787" s="341"/>
      <c r="J787" s="341"/>
      <c r="K787" s="341" t="e">
        <f t="shared" si="337"/>
        <v>#DIV/0!</v>
      </c>
      <c r="L787" s="341">
        <f t="shared" si="338"/>
        <v>0</v>
      </c>
      <c r="M787" s="342"/>
      <c r="N787" s="341"/>
      <c r="O787" s="338">
        <f t="shared" si="321"/>
        <v>0</v>
      </c>
      <c r="P787" s="341"/>
      <c r="Q787" s="431"/>
      <c r="R787" s="428">
        <f t="shared" si="325"/>
        <v>3.5000000000000003E-2</v>
      </c>
      <c r="S787" s="45">
        <f t="shared" si="339"/>
        <v>0</v>
      </c>
      <c r="T787" s="425">
        <f t="shared" si="340"/>
        <v>0</v>
      </c>
      <c r="U787" s="46"/>
      <c r="V787" s="407">
        <f t="shared" si="341"/>
        <v>0</v>
      </c>
      <c r="W787" s="45">
        <f t="shared" si="342"/>
        <v>0</v>
      </c>
      <c r="X787" s="45"/>
      <c r="Y787" s="45">
        <f t="shared" si="343"/>
        <v>0</v>
      </c>
      <c r="Z787" s="45" t="e">
        <f t="shared" si="344"/>
        <v>#DIV/0!</v>
      </c>
    </row>
    <row r="788" spans="3:26" ht="15" hidden="1" outlineLevel="2">
      <c r="C788" s="1464"/>
      <c r="D788" s="1464"/>
      <c r="E788" s="1466"/>
      <c r="F788" s="1468"/>
      <c r="G788" s="343"/>
      <c r="H788" s="335" t="s">
        <v>28</v>
      </c>
      <c r="I788" s="341"/>
      <c r="J788" s="341"/>
      <c r="K788" s="341" t="e">
        <f t="shared" si="337"/>
        <v>#DIV/0!</v>
      </c>
      <c r="L788" s="341">
        <f t="shared" si="338"/>
        <v>0</v>
      </c>
      <c r="M788" s="342"/>
      <c r="N788" s="341"/>
      <c r="O788" s="338">
        <f t="shared" si="321"/>
        <v>0</v>
      </c>
      <c r="P788" s="341"/>
      <c r="Q788" s="431"/>
      <c r="R788" s="428">
        <f t="shared" si="325"/>
        <v>3.5000000000000003E-2</v>
      </c>
      <c r="S788" s="45">
        <f t="shared" si="339"/>
        <v>0</v>
      </c>
      <c r="T788" s="425">
        <f t="shared" si="340"/>
        <v>0</v>
      </c>
      <c r="U788" s="46"/>
      <c r="V788" s="407">
        <f t="shared" si="341"/>
        <v>0</v>
      </c>
      <c r="W788" s="45">
        <f t="shared" si="342"/>
        <v>0</v>
      </c>
      <c r="X788" s="45"/>
      <c r="Y788" s="45">
        <f t="shared" si="343"/>
        <v>0</v>
      </c>
      <c r="Z788" s="45" t="e">
        <f t="shared" si="344"/>
        <v>#DIV/0!</v>
      </c>
    </row>
    <row r="789" spans="3:26" ht="15" hidden="1" outlineLevel="2">
      <c r="C789" s="1464"/>
      <c r="D789" s="1464"/>
      <c r="E789" s="1466"/>
      <c r="F789" s="1468"/>
      <c r="G789" s="343"/>
      <c r="H789" s="335" t="s">
        <v>28</v>
      </c>
      <c r="I789" s="341"/>
      <c r="J789" s="341"/>
      <c r="K789" s="341" t="e">
        <f t="shared" si="337"/>
        <v>#DIV/0!</v>
      </c>
      <c r="L789" s="341">
        <f t="shared" si="338"/>
        <v>0</v>
      </c>
      <c r="M789" s="342"/>
      <c r="N789" s="341"/>
      <c r="O789" s="338">
        <f t="shared" si="321"/>
        <v>0</v>
      </c>
      <c r="P789" s="341"/>
      <c r="Q789" s="431"/>
      <c r="R789" s="428">
        <f t="shared" si="325"/>
        <v>3.5000000000000003E-2</v>
      </c>
      <c r="S789" s="45">
        <f t="shared" si="339"/>
        <v>0</v>
      </c>
      <c r="T789" s="425">
        <f t="shared" si="340"/>
        <v>0</v>
      </c>
      <c r="U789" s="46"/>
      <c r="V789" s="407">
        <f t="shared" si="341"/>
        <v>0</v>
      </c>
      <c r="W789" s="45">
        <f t="shared" si="342"/>
        <v>0</v>
      </c>
      <c r="X789" s="45"/>
      <c r="Y789" s="45">
        <f t="shared" si="343"/>
        <v>0</v>
      </c>
      <c r="Z789" s="45" t="e">
        <f t="shared" si="344"/>
        <v>#DIV/0!</v>
      </c>
    </row>
    <row r="790" spans="3:26" ht="15" hidden="1" outlineLevel="2">
      <c r="C790" s="1464"/>
      <c r="D790" s="1464"/>
      <c r="E790" s="1466"/>
      <c r="F790" s="1468"/>
      <c r="G790" s="344"/>
      <c r="H790" s="335" t="s">
        <v>28</v>
      </c>
      <c r="I790" s="345"/>
      <c r="J790" s="345"/>
      <c r="K790" s="341" t="e">
        <f t="shared" si="337"/>
        <v>#DIV/0!</v>
      </c>
      <c r="L790" s="341">
        <f t="shared" si="338"/>
        <v>0</v>
      </c>
      <c r="M790" s="346"/>
      <c r="N790" s="345"/>
      <c r="O790" s="338">
        <f t="shared" si="321"/>
        <v>0</v>
      </c>
      <c r="P790" s="345"/>
      <c r="Q790" s="432"/>
      <c r="R790" s="428">
        <f t="shared" si="325"/>
        <v>3.5000000000000003E-2</v>
      </c>
      <c r="S790" s="45">
        <f t="shared" si="339"/>
        <v>0</v>
      </c>
      <c r="T790" s="425">
        <f t="shared" si="340"/>
        <v>0</v>
      </c>
      <c r="U790" s="46"/>
      <c r="V790" s="407">
        <f t="shared" si="341"/>
        <v>0</v>
      </c>
      <c r="W790" s="45">
        <f t="shared" si="342"/>
        <v>0</v>
      </c>
      <c r="X790" s="45"/>
      <c r="Y790" s="45">
        <f t="shared" si="343"/>
        <v>0</v>
      </c>
      <c r="Z790" s="45" t="e">
        <f t="shared" si="344"/>
        <v>#DIV/0!</v>
      </c>
    </row>
    <row r="791" spans="3:26" ht="15" hidden="1" outlineLevel="2">
      <c r="C791" s="1464"/>
      <c r="D791" s="1464"/>
      <c r="E791" s="1466"/>
      <c r="F791" s="1468"/>
      <c r="G791" s="343"/>
      <c r="H791" s="335" t="s">
        <v>28</v>
      </c>
      <c r="I791" s="341"/>
      <c r="J791" s="341"/>
      <c r="K791" s="341" t="e">
        <f t="shared" si="337"/>
        <v>#DIV/0!</v>
      </c>
      <c r="L791" s="341">
        <f t="shared" si="338"/>
        <v>0</v>
      </c>
      <c r="M791" s="342"/>
      <c r="N791" s="341"/>
      <c r="O791" s="338">
        <f t="shared" si="321"/>
        <v>0</v>
      </c>
      <c r="P791" s="341"/>
      <c r="Q791" s="431"/>
      <c r="R791" s="428">
        <f t="shared" si="325"/>
        <v>3.5000000000000003E-2</v>
      </c>
      <c r="S791" s="45">
        <f t="shared" si="339"/>
        <v>0</v>
      </c>
      <c r="T791" s="425">
        <f t="shared" si="340"/>
        <v>0</v>
      </c>
      <c r="U791" s="46"/>
      <c r="V791" s="407">
        <f t="shared" si="341"/>
        <v>0</v>
      </c>
      <c r="W791" s="45">
        <f t="shared" si="342"/>
        <v>0</v>
      </c>
      <c r="X791" s="45"/>
      <c r="Y791" s="45">
        <f t="shared" si="343"/>
        <v>0</v>
      </c>
      <c r="Z791" s="45" t="e">
        <f t="shared" si="344"/>
        <v>#DIV/0!</v>
      </c>
    </row>
    <row r="792" spans="3:26" ht="15" hidden="1" outlineLevel="2">
      <c r="C792" s="1464"/>
      <c r="D792" s="1464"/>
      <c r="E792" s="1466"/>
      <c r="F792" s="1468"/>
      <c r="G792" s="1470" t="s">
        <v>51</v>
      </c>
      <c r="H792" s="1471"/>
      <c r="I792" s="347">
        <f>SUM(I782:I791)</f>
        <v>0</v>
      </c>
      <c r="J792" s="347">
        <f t="shared" ref="J792" si="345">SUM(J782:J791)</f>
        <v>0</v>
      </c>
      <c r="K792" s="347">
        <f>SUMIFS(K782:K791,K782:K791,"&lt;&gt;",K782:K791,"&lt;"&amp;99^99)</f>
        <v>0</v>
      </c>
      <c r="L792" s="347">
        <f>SUMIFS(L782:L791,L782:L791,"&lt;&gt;",L782:L791,"&lt;"&amp;99^99)</f>
        <v>0</v>
      </c>
      <c r="M792" s="348"/>
      <c r="N792" s="347">
        <f>N782</f>
        <v>0</v>
      </c>
      <c r="O792" s="349">
        <f t="shared" si="321"/>
        <v>0</v>
      </c>
      <c r="P792" s="347">
        <f t="shared" ref="P792:Q792" si="346">SUM(P782:P791)</f>
        <v>0</v>
      </c>
      <c r="Q792" s="433">
        <f t="shared" si="346"/>
        <v>0</v>
      </c>
      <c r="R792" s="55" t="str">
        <f t="shared" si="325"/>
        <v/>
      </c>
      <c r="S792" s="408">
        <f>SUM(S782:S791)</f>
        <v>0</v>
      </c>
      <c r="T792" s="426">
        <f t="shared" ref="T792" si="347">SUM(T782:T791)</f>
        <v>0</v>
      </c>
      <c r="U792" s="408"/>
      <c r="V792" s="408"/>
      <c r="W792" s="408">
        <f t="shared" ref="W792" si="348">SUM(W782:W791)</f>
        <v>0</v>
      </c>
      <c r="X792" s="408"/>
      <c r="Y792" s="408">
        <f t="shared" ref="Y792" si="349">SUM(Y782:Y791)</f>
        <v>0</v>
      </c>
      <c r="Z792" s="408">
        <f>SUMIFS(Z782:Z791,Y782:Y791,"&lt;&gt;",Z782:Z791,"&lt;"&amp;99^99)</f>
        <v>0</v>
      </c>
    </row>
    <row r="793" spans="3:26" ht="15" hidden="1" outlineLevel="2">
      <c r="C793" s="1464"/>
      <c r="D793" s="1464"/>
      <c r="E793" s="1466"/>
      <c r="F793" s="1468"/>
      <c r="G793" s="351"/>
      <c r="H793" s="335" t="s">
        <v>22</v>
      </c>
      <c r="I793" s="336"/>
      <c r="J793" s="336"/>
      <c r="K793" s="341"/>
      <c r="L793" s="341">
        <f t="shared" ref="L793:L802" si="350">AA793</f>
        <v>0</v>
      </c>
      <c r="M793" s="352"/>
      <c r="N793" s="336"/>
      <c r="O793" s="338">
        <f t="shared" si="321"/>
        <v>0</v>
      </c>
      <c r="P793" s="336"/>
      <c r="Q793" s="430"/>
      <c r="R793" s="428">
        <f t="shared" si="325"/>
        <v>3.5000000000000003E-2</v>
      </c>
      <c r="S793" s="45">
        <f t="shared" ref="S793:S802" si="351">R793*J793</f>
        <v>0</v>
      </c>
      <c r="T793" s="425">
        <f t="shared" ref="T793:T802" si="352">R793*I793</f>
        <v>0</v>
      </c>
      <c r="U793" s="46">
        <v>0</v>
      </c>
      <c r="V793" s="407">
        <f>U793/12</f>
        <v>0</v>
      </c>
      <c r="W793" s="45">
        <f>T793*V793</f>
        <v>0</v>
      </c>
      <c r="X793" s="45"/>
      <c r="Y793" s="45">
        <f t="shared" ref="Y793:Y802" si="353">I793+W793</f>
        <v>0</v>
      </c>
      <c r="Z793" s="45" t="e">
        <f t="shared" ref="Z793:Z802" si="354">Y793/U793</f>
        <v>#DIV/0!</v>
      </c>
    </row>
    <row r="794" spans="3:26" ht="15" hidden="1" outlineLevel="2">
      <c r="C794" s="1464"/>
      <c r="D794" s="1464"/>
      <c r="E794" s="1466"/>
      <c r="F794" s="1468"/>
      <c r="G794" s="343"/>
      <c r="H794" s="335" t="s">
        <v>22</v>
      </c>
      <c r="I794" s="341"/>
      <c r="J794" s="341"/>
      <c r="K794" s="341" t="e">
        <f t="shared" ref="K794:K802" si="355">Z794</f>
        <v>#DIV/0!</v>
      </c>
      <c r="L794" s="341">
        <f t="shared" si="350"/>
        <v>0</v>
      </c>
      <c r="M794" s="342"/>
      <c r="N794" s="341"/>
      <c r="O794" s="338">
        <f t="shared" si="321"/>
        <v>0</v>
      </c>
      <c r="P794" s="341"/>
      <c r="Q794" s="431"/>
      <c r="R794" s="428">
        <f t="shared" si="325"/>
        <v>3.5000000000000003E-2</v>
      </c>
      <c r="S794" s="45">
        <f t="shared" si="351"/>
        <v>0</v>
      </c>
      <c r="T794" s="425">
        <f t="shared" si="352"/>
        <v>0</v>
      </c>
      <c r="U794" s="46"/>
      <c r="V794" s="407">
        <f t="shared" ref="V794:V802" si="356">U794/12</f>
        <v>0</v>
      </c>
      <c r="W794" s="45">
        <f t="shared" ref="W794:W802" si="357">T794*V794</f>
        <v>0</v>
      </c>
      <c r="X794" s="45"/>
      <c r="Y794" s="45">
        <f t="shared" si="353"/>
        <v>0</v>
      </c>
      <c r="Z794" s="45" t="e">
        <f t="shared" si="354"/>
        <v>#DIV/0!</v>
      </c>
    </row>
    <row r="795" spans="3:26" ht="15" hidden="1" outlineLevel="2">
      <c r="C795" s="1464"/>
      <c r="D795" s="1464"/>
      <c r="E795" s="1466"/>
      <c r="F795" s="1468"/>
      <c r="G795" s="343"/>
      <c r="H795" s="335" t="s">
        <v>22</v>
      </c>
      <c r="I795" s="341"/>
      <c r="J795" s="341"/>
      <c r="K795" s="341" t="e">
        <f t="shared" si="355"/>
        <v>#DIV/0!</v>
      </c>
      <c r="L795" s="341">
        <f t="shared" si="350"/>
        <v>0</v>
      </c>
      <c r="M795" s="337"/>
      <c r="N795" s="341"/>
      <c r="O795" s="338">
        <f t="shared" si="321"/>
        <v>0</v>
      </c>
      <c r="P795" s="341"/>
      <c r="Q795" s="431"/>
      <c r="R795" s="428">
        <f t="shared" si="325"/>
        <v>3.5000000000000003E-2</v>
      </c>
      <c r="S795" s="45">
        <f t="shared" si="351"/>
        <v>0</v>
      </c>
      <c r="T795" s="425">
        <f t="shared" si="352"/>
        <v>0</v>
      </c>
      <c r="U795" s="46"/>
      <c r="V795" s="407">
        <f t="shared" si="356"/>
        <v>0</v>
      </c>
      <c r="W795" s="45">
        <f t="shared" si="357"/>
        <v>0</v>
      </c>
      <c r="X795" s="45"/>
      <c r="Y795" s="45">
        <f t="shared" si="353"/>
        <v>0</v>
      </c>
      <c r="Z795" s="45" t="e">
        <f t="shared" si="354"/>
        <v>#DIV/0!</v>
      </c>
    </row>
    <row r="796" spans="3:26" ht="15" hidden="1" outlineLevel="2">
      <c r="C796" s="1464"/>
      <c r="D796" s="1464"/>
      <c r="E796" s="1466"/>
      <c r="F796" s="1468"/>
      <c r="G796" s="343"/>
      <c r="H796" s="335" t="s">
        <v>22</v>
      </c>
      <c r="I796" s="341"/>
      <c r="J796" s="341"/>
      <c r="K796" s="341" t="e">
        <f t="shared" si="355"/>
        <v>#DIV/0!</v>
      </c>
      <c r="L796" s="341">
        <f t="shared" si="350"/>
        <v>0</v>
      </c>
      <c r="M796" s="342"/>
      <c r="N796" s="341"/>
      <c r="O796" s="338">
        <f t="shared" si="321"/>
        <v>0</v>
      </c>
      <c r="P796" s="341"/>
      <c r="Q796" s="431"/>
      <c r="R796" s="428">
        <f t="shared" si="325"/>
        <v>3.5000000000000003E-2</v>
      </c>
      <c r="S796" s="45">
        <f t="shared" si="351"/>
        <v>0</v>
      </c>
      <c r="T796" s="425">
        <f t="shared" si="352"/>
        <v>0</v>
      </c>
      <c r="U796" s="46"/>
      <c r="V796" s="407">
        <f t="shared" si="356"/>
        <v>0</v>
      </c>
      <c r="W796" s="45">
        <f t="shared" si="357"/>
        <v>0</v>
      </c>
      <c r="X796" s="45"/>
      <c r="Y796" s="45">
        <f t="shared" si="353"/>
        <v>0</v>
      </c>
      <c r="Z796" s="45" t="e">
        <f t="shared" si="354"/>
        <v>#DIV/0!</v>
      </c>
    </row>
    <row r="797" spans="3:26" ht="15" hidden="1" outlineLevel="2">
      <c r="C797" s="1464"/>
      <c r="D797" s="1464"/>
      <c r="E797" s="1466"/>
      <c r="F797" s="1468"/>
      <c r="G797" s="343"/>
      <c r="H797" s="335" t="s">
        <v>22</v>
      </c>
      <c r="I797" s="341"/>
      <c r="J797" s="341"/>
      <c r="K797" s="341" t="e">
        <f t="shared" si="355"/>
        <v>#DIV/0!</v>
      </c>
      <c r="L797" s="341">
        <f t="shared" si="350"/>
        <v>0</v>
      </c>
      <c r="M797" s="342"/>
      <c r="N797" s="341"/>
      <c r="O797" s="338">
        <f t="shared" si="321"/>
        <v>0</v>
      </c>
      <c r="P797" s="341"/>
      <c r="Q797" s="431"/>
      <c r="R797" s="428">
        <f t="shared" si="325"/>
        <v>3.5000000000000003E-2</v>
      </c>
      <c r="S797" s="45">
        <f t="shared" si="351"/>
        <v>0</v>
      </c>
      <c r="T797" s="425">
        <f t="shared" si="352"/>
        <v>0</v>
      </c>
      <c r="U797" s="46"/>
      <c r="V797" s="407">
        <f t="shared" si="356"/>
        <v>0</v>
      </c>
      <c r="W797" s="45">
        <f t="shared" si="357"/>
        <v>0</v>
      </c>
      <c r="X797" s="45"/>
      <c r="Y797" s="45">
        <f t="shared" si="353"/>
        <v>0</v>
      </c>
      <c r="Z797" s="45" t="e">
        <f t="shared" si="354"/>
        <v>#DIV/0!</v>
      </c>
    </row>
    <row r="798" spans="3:26" ht="15" hidden="1" outlineLevel="2">
      <c r="C798" s="1464"/>
      <c r="D798" s="1464"/>
      <c r="E798" s="1466"/>
      <c r="F798" s="1468"/>
      <c r="G798" s="343"/>
      <c r="H798" s="335" t="s">
        <v>22</v>
      </c>
      <c r="I798" s="341"/>
      <c r="J798" s="341"/>
      <c r="K798" s="341" t="e">
        <f t="shared" si="355"/>
        <v>#DIV/0!</v>
      </c>
      <c r="L798" s="341">
        <f t="shared" si="350"/>
        <v>0</v>
      </c>
      <c r="M798" s="342"/>
      <c r="N798" s="341"/>
      <c r="O798" s="338">
        <f t="shared" si="321"/>
        <v>0</v>
      </c>
      <c r="P798" s="341"/>
      <c r="Q798" s="431"/>
      <c r="R798" s="428">
        <f t="shared" si="325"/>
        <v>3.5000000000000003E-2</v>
      </c>
      <c r="S798" s="45">
        <f t="shared" si="351"/>
        <v>0</v>
      </c>
      <c r="T798" s="425">
        <f t="shared" si="352"/>
        <v>0</v>
      </c>
      <c r="U798" s="46"/>
      <c r="V798" s="407">
        <f t="shared" si="356"/>
        <v>0</v>
      </c>
      <c r="W798" s="45">
        <f t="shared" si="357"/>
        <v>0</v>
      </c>
      <c r="X798" s="45"/>
      <c r="Y798" s="45">
        <f t="shared" si="353"/>
        <v>0</v>
      </c>
      <c r="Z798" s="45" t="e">
        <f t="shared" si="354"/>
        <v>#DIV/0!</v>
      </c>
    </row>
    <row r="799" spans="3:26" ht="15" hidden="1" outlineLevel="2">
      <c r="C799" s="1464"/>
      <c r="D799" s="1464"/>
      <c r="E799" s="1466"/>
      <c r="F799" s="1468"/>
      <c r="G799" s="343"/>
      <c r="H799" s="335" t="s">
        <v>22</v>
      </c>
      <c r="I799" s="341"/>
      <c r="J799" s="341"/>
      <c r="K799" s="341" t="e">
        <f t="shared" si="355"/>
        <v>#DIV/0!</v>
      </c>
      <c r="L799" s="341">
        <f t="shared" si="350"/>
        <v>0</v>
      </c>
      <c r="M799" s="342"/>
      <c r="N799" s="341"/>
      <c r="O799" s="338">
        <f t="shared" si="321"/>
        <v>0</v>
      </c>
      <c r="P799" s="341"/>
      <c r="Q799" s="431"/>
      <c r="R799" s="428">
        <f t="shared" si="325"/>
        <v>3.5000000000000003E-2</v>
      </c>
      <c r="S799" s="45">
        <f t="shared" si="351"/>
        <v>0</v>
      </c>
      <c r="T799" s="425">
        <f t="shared" si="352"/>
        <v>0</v>
      </c>
      <c r="U799" s="46"/>
      <c r="V799" s="407">
        <f t="shared" si="356"/>
        <v>0</v>
      </c>
      <c r="W799" s="45">
        <f t="shared" si="357"/>
        <v>0</v>
      </c>
      <c r="X799" s="45"/>
      <c r="Y799" s="45">
        <f t="shared" si="353"/>
        <v>0</v>
      </c>
      <c r="Z799" s="45" t="e">
        <f t="shared" si="354"/>
        <v>#DIV/0!</v>
      </c>
    </row>
    <row r="800" spans="3:26" ht="15" hidden="1" outlineLevel="2">
      <c r="C800" s="1464"/>
      <c r="D800" s="1464"/>
      <c r="E800" s="1466"/>
      <c r="F800" s="1468"/>
      <c r="G800" s="343"/>
      <c r="H800" s="335" t="s">
        <v>22</v>
      </c>
      <c r="I800" s="341"/>
      <c r="J800" s="341"/>
      <c r="K800" s="341" t="e">
        <f t="shared" si="355"/>
        <v>#DIV/0!</v>
      </c>
      <c r="L800" s="341">
        <f t="shared" si="350"/>
        <v>0</v>
      </c>
      <c r="M800" s="342"/>
      <c r="N800" s="341"/>
      <c r="O800" s="338">
        <f t="shared" si="321"/>
        <v>0</v>
      </c>
      <c r="P800" s="341"/>
      <c r="Q800" s="431"/>
      <c r="R800" s="428">
        <f t="shared" si="325"/>
        <v>3.5000000000000003E-2</v>
      </c>
      <c r="S800" s="45">
        <f t="shared" si="351"/>
        <v>0</v>
      </c>
      <c r="T800" s="425">
        <f t="shared" si="352"/>
        <v>0</v>
      </c>
      <c r="U800" s="46"/>
      <c r="V800" s="407">
        <f t="shared" si="356"/>
        <v>0</v>
      </c>
      <c r="W800" s="45">
        <f t="shared" si="357"/>
        <v>0</v>
      </c>
      <c r="X800" s="45"/>
      <c r="Y800" s="45">
        <f t="shared" si="353"/>
        <v>0</v>
      </c>
      <c r="Z800" s="45" t="e">
        <f t="shared" si="354"/>
        <v>#DIV/0!</v>
      </c>
    </row>
    <row r="801" spans="3:26" ht="15" hidden="1" outlineLevel="2">
      <c r="C801" s="1464"/>
      <c r="D801" s="1464"/>
      <c r="E801" s="1466"/>
      <c r="F801" s="1468"/>
      <c r="G801" s="344"/>
      <c r="H801" s="335" t="s">
        <v>22</v>
      </c>
      <c r="I801" s="345"/>
      <c r="J801" s="345"/>
      <c r="K801" s="341" t="e">
        <f t="shared" si="355"/>
        <v>#DIV/0!</v>
      </c>
      <c r="L801" s="341">
        <f t="shared" si="350"/>
        <v>0</v>
      </c>
      <c r="M801" s="346"/>
      <c r="N801" s="345"/>
      <c r="O801" s="338">
        <f t="shared" si="321"/>
        <v>0</v>
      </c>
      <c r="P801" s="345"/>
      <c r="Q801" s="432"/>
      <c r="R801" s="428">
        <f t="shared" si="325"/>
        <v>3.5000000000000003E-2</v>
      </c>
      <c r="S801" s="45">
        <f t="shared" si="351"/>
        <v>0</v>
      </c>
      <c r="T801" s="425">
        <f t="shared" si="352"/>
        <v>0</v>
      </c>
      <c r="U801" s="46"/>
      <c r="V801" s="407">
        <f t="shared" si="356"/>
        <v>0</v>
      </c>
      <c r="W801" s="45">
        <f t="shared" si="357"/>
        <v>0</v>
      </c>
      <c r="X801" s="45"/>
      <c r="Y801" s="45">
        <f t="shared" si="353"/>
        <v>0</v>
      </c>
      <c r="Z801" s="45" t="e">
        <f t="shared" si="354"/>
        <v>#DIV/0!</v>
      </c>
    </row>
    <row r="802" spans="3:26" ht="15" hidden="1" outlineLevel="2">
      <c r="C802" s="1464"/>
      <c r="D802" s="1464"/>
      <c r="E802" s="1466"/>
      <c r="F802" s="1468"/>
      <c r="G802" s="343"/>
      <c r="H802" s="335" t="s">
        <v>22</v>
      </c>
      <c r="I802" s="341"/>
      <c r="J802" s="341"/>
      <c r="K802" s="341" t="e">
        <f t="shared" si="355"/>
        <v>#DIV/0!</v>
      </c>
      <c r="L802" s="341">
        <f t="shared" si="350"/>
        <v>0</v>
      </c>
      <c r="M802" s="342"/>
      <c r="N802" s="341"/>
      <c r="O802" s="338">
        <f t="shared" si="321"/>
        <v>0</v>
      </c>
      <c r="P802" s="341"/>
      <c r="Q802" s="431"/>
      <c r="R802" s="428">
        <f t="shared" si="325"/>
        <v>3.5000000000000003E-2</v>
      </c>
      <c r="S802" s="45">
        <f t="shared" si="351"/>
        <v>0</v>
      </c>
      <c r="T802" s="425">
        <f t="shared" si="352"/>
        <v>0</v>
      </c>
      <c r="U802" s="46"/>
      <c r="V802" s="407">
        <f t="shared" si="356"/>
        <v>0</v>
      </c>
      <c r="W802" s="45">
        <f t="shared" si="357"/>
        <v>0</v>
      </c>
      <c r="X802" s="45"/>
      <c r="Y802" s="45">
        <f t="shared" si="353"/>
        <v>0</v>
      </c>
      <c r="Z802" s="45" t="e">
        <f t="shared" si="354"/>
        <v>#DIV/0!</v>
      </c>
    </row>
    <row r="803" spans="3:26" ht="15" hidden="1" outlineLevel="2">
      <c r="C803" s="1464"/>
      <c r="D803" s="1464"/>
      <c r="E803" s="1466"/>
      <c r="F803" s="1468"/>
      <c r="G803" s="1470" t="s">
        <v>44</v>
      </c>
      <c r="H803" s="1471"/>
      <c r="I803" s="347">
        <f>SUM(I793:I802)</f>
        <v>0</v>
      </c>
      <c r="J803" s="347">
        <f t="shared" ref="J803" si="358">SUM(J793:J802)</f>
        <v>0</v>
      </c>
      <c r="K803" s="347">
        <f>SUMIFS(K793:K802,K793:K802,"&lt;&gt;",K793:K802,"&lt;"&amp;99^99)</f>
        <v>0</v>
      </c>
      <c r="L803" s="347">
        <f>SUMIFS(L793:L802,L793:L802,"&lt;&gt;",L793:L802,"&lt;"&amp;99^99)</f>
        <v>0</v>
      </c>
      <c r="M803" s="348"/>
      <c r="N803" s="347">
        <f>N793</f>
        <v>0</v>
      </c>
      <c r="O803" s="349">
        <f t="shared" si="321"/>
        <v>0</v>
      </c>
      <c r="P803" s="347">
        <f t="shared" ref="P803:Q803" si="359">SUM(P793:P802)</f>
        <v>0</v>
      </c>
      <c r="Q803" s="433">
        <f t="shared" si="359"/>
        <v>0</v>
      </c>
      <c r="R803" s="55" t="str">
        <f t="shared" si="325"/>
        <v/>
      </c>
      <c r="S803" s="408">
        <f>SUM(S793:S802)</f>
        <v>0</v>
      </c>
      <c r="T803" s="426">
        <f t="shared" ref="T803" si="360">SUM(T793:T802)</f>
        <v>0</v>
      </c>
      <c r="U803" s="408"/>
      <c r="V803" s="408"/>
      <c r="W803" s="408">
        <f t="shared" ref="W803" si="361">SUM(W793:W802)</f>
        <v>0</v>
      </c>
      <c r="X803" s="408"/>
      <c r="Y803" s="408">
        <f t="shared" ref="Y803" si="362">SUM(Y793:Y802)</f>
        <v>0</v>
      </c>
      <c r="Z803" s="408">
        <f>SUMIFS(Z793:Z802,Y793:Y802,"&lt;&gt;",Z793:Z802,"&lt;"&amp;99^99)</f>
        <v>0</v>
      </c>
    </row>
    <row r="804" spans="3:26" ht="15.75" outlineLevel="1" collapsed="1" thickTop="1">
      <c r="C804" s="1464"/>
      <c r="D804" s="1464"/>
      <c r="E804" s="1466"/>
      <c r="F804" s="1469"/>
      <c r="G804" s="1470" t="s">
        <v>177</v>
      </c>
      <c r="H804" s="1471"/>
      <c r="I804" s="347">
        <f>(I781/usdrate)+(I792*jodrate)+I803</f>
        <v>0</v>
      </c>
      <c r="J804" s="347">
        <f>(J781/usdrate)+(J792*jodrate)+J803</f>
        <v>0</v>
      </c>
      <c r="K804" s="347">
        <f>(K781/usdrate)+(K792*jodrate)+K803</f>
        <v>0</v>
      </c>
      <c r="L804" s="347">
        <f>(L781/usdrate)+(L792*jodrate)+L803</f>
        <v>0</v>
      </c>
      <c r="M804" s="348"/>
      <c r="N804" s="347">
        <f>(N781/usdrate)+(N792*jodrate)+N803</f>
        <v>0</v>
      </c>
      <c r="O804" s="349">
        <f t="shared" si="321"/>
        <v>0</v>
      </c>
      <c r="P804" s="347">
        <f>(P781/usdrate)+(P792*jodrate)+P803</f>
        <v>0</v>
      </c>
      <c r="Q804" s="433">
        <f>(Q781/usdrate)+(Q792*jodrate)+Q803</f>
        <v>0</v>
      </c>
      <c r="R804" s="429"/>
      <c r="S804" s="408">
        <f t="shared" ref="S804:W804" si="363">(S781/usdrate)+(S792*jodrate)+S803</f>
        <v>0</v>
      </c>
      <c r="T804" s="426">
        <f t="shared" si="363"/>
        <v>0</v>
      </c>
      <c r="U804" s="408">
        <f t="shared" si="363"/>
        <v>0</v>
      </c>
      <c r="V804" s="408">
        <f t="shared" si="363"/>
        <v>0</v>
      </c>
      <c r="W804" s="408">
        <f t="shared" si="363"/>
        <v>0</v>
      </c>
      <c r="X804" s="408"/>
      <c r="Y804" s="408">
        <f t="shared" ref="Y804:Z804" si="364">(Y781/usdrate)+(Y792*jodrate)+Y803</f>
        <v>0</v>
      </c>
      <c r="Z804" s="408">
        <f t="shared" si="364"/>
        <v>0</v>
      </c>
    </row>
    <row r="805" spans="3:26" ht="15" hidden="1" outlineLevel="2">
      <c r="C805" s="1464"/>
      <c r="D805" s="1464"/>
      <c r="E805" s="1466"/>
      <c r="F805" s="1472" t="s">
        <v>170</v>
      </c>
      <c r="G805" s="350"/>
      <c r="H805" s="335" t="s">
        <v>4</v>
      </c>
      <c r="I805" s="336"/>
      <c r="J805" s="336"/>
      <c r="K805" s="341">
        <f t="shared" ref="K805:K814" si="365">I805*R805/12</f>
        <v>0</v>
      </c>
      <c r="L805" s="341">
        <f t="shared" ref="L805:L814" si="366">J805*S805/12</f>
        <v>0</v>
      </c>
      <c r="M805" s="337"/>
      <c r="N805" s="336"/>
      <c r="O805" s="338">
        <f t="shared" si="321"/>
        <v>0</v>
      </c>
      <c r="P805" s="336"/>
      <c r="Q805" s="430"/>
      <c r="R805" s="28">
        <f t="shared" ref="R805:R837" si="367">IF(H805="USD",$B$4,IF(H805="ILS",$B$2,IF(H805="JOD",$B$3,"")))</f>
        <v>0.05</v>
      </c>
      <c r="S805" s="14"/>
      <c r="T805" s="423">
        <f t="shared" ref="T805:T814" si="368">I805*R805</f>
        <v>0</v>
      </c>
      <c r="U805" s="14"/>
      <c r="V805" s="14">
        <v>1</v>
      </c>
      <c r="W805" s="14">
        <f>T805*V805</f>
        <v>0</v>
      </c>
      <c r="X805" s="35">
        <f t="shared" ref="X805:X814" si="369">W805/usdrate</f>
        <v>0</v>
      </c>
      <c r="Y805" s="14"/>
      <c r="Z805" s="14"/>
    </row>
    <row r="806" spans="3:26" ht="15" hidden="1" outlineLevel="2">
      <c r="C806" s="1464"/>
      <c r="D806" s="1464"/>
      <c r="E806" s="1466"/>
      <c r="F806" s="1468"/>
      <c r="G806" s="343"/>
      <c r="H806" s="335" t="s">
        <v>4</v>
      </c>
      <c r="I806" s="341"/>
      <c r="J806" s="341"/>
      <c r="K806" s="341">
        <f t="shared" si="365"/>
        <v>0</v>
      </c>
      <c r="L806" s="341">
        <f t="shared" si="366"/>
        <v>0</v>
      </c>
      <c r="M806" s="342"/>
      <c r="N806" s="341">
        <v>0</v>
      </c>
      <c r="O806" s="338">
        <f t="shared" si="321"/>
        <v>0</v>
      </c>
      <c r="P806" s="341"/>
      <c r="Q806" s="431"/>
      <c r="R806" s="28">
        <f t="shared" si="367"/>
        <v>0.05</v>
      </c>
      <c r="S806" s="14"/>
      <c r="T806" s="423">
        <f t="shared" si="368"/>
        <v>0</v>
      </c>
      <c r="U806" s="14"/>
      <c r="V806" s="14">
        <v>1</v>
      </c>
      <c r="W806" s="14">
        <f t="shared" ref="W806:W814" si="370">T806*V806</f>
        <v>0</v>
      </c>
      <c r="X806" s="35">
        <f t="shared" si="369"/>
        <v>0</v>
      </c>
      <c r="Y806" s="14"/>
      <c r="Z806" s="14"/>
    </row>
    <row r="807" spans="3:26" ht="15" hidden="1" outlineLevel="2">
      <c r="C807" s="1464"/>
      <c r="D807" s="1464"/>
      <c r="E807" s="1466"/>
      <c r="F807" s="1468"/>
      <c r="G807" s="343"/>
      <c r="H807" s="335" t="s">
        <v>4</v>
      </c>
      <c r="I807" s="341"/>
      <c r="J807" s="341"/>
      <c r="K807" s="341">
        <f t="shared" si="365"/>
        <v>0</v>
      </c>
      <c r="L807" s="341">
        <f t="shared" si="366"/>
        <v>0</v>
      </c>
      <c r="M807" s="337"/>
      <c r="N807" s="341"/>
      <c r="O807" s="338">
        <f t="shared" si="321"/>
        <v>0</v>
      </c>
      <c r="P807" s="341"/>
      <c r="Q807" s="431"/>
      <c r="R807" s="28">
        <f t="shared" si="367"/>
        <v>0.05</v>
      </c>
      <c r="S807" s="14"/>
      <c r="T807" s="423">
        <f t="shared" si="368"/>
        <v>0</v>
      </c>
      <c r="U807" s="14"/>
      <c r="V807" s="14">
        <v>1</v>
      </c>
      <c r="W807" s="14">
        <f t="shared" si="370"/>
        <v>0</v>
      </c>
      <c r="X807" s="35">
        <f t="shared" si="369"/>
        <v>0</v>
      </c>
      <c r="Y807" s="14"/>
      <c r="Z807" s="14"/>
    </row>
    <row r="808" spans="3:26" ht="15" hidden="1" outlineLevel="2">
      <c r="C808" s="1464"/>
      <c r="D808" s="1464"/>
      <c r="E808" s="1466"/>
      <c r="F808" s="1468"/>
      <c r="G808" s="343"/>
      <c r="H808" s="335" t="s">
        <v>4</v>
      </c>
      <c r="I808" s="341"/>
      <c r="J808" s="341"/>
      <c r="K808" s="341">
        <f t="shared" si="365"/>
        <v>0</v>
      </c>
      <c r="L808" s="341">
        <f t="shared" si="366"/>
        <v>0</v>
      </c>
      <c r="M808" s="342"/>
      <c r="N808" s="341"/>
      <c r="O808" s="338">
        <f t="shared" si="321"/>
        <v>0</v>
      </c>
      <c r="P808" s="341"/>
      <c r="Q808" s="431"/>
      <c r="R808" s="28">
        <f t="shared" si="367"/>
        <v>0.05</v>
      </c>
      <c r="S808" s="14"/>
      <c r="T808" s="423">
        <f t="shared" si="368"/>
        <v>0</v>
      </c>
      <c r="U808" s="14"/>
      <c r="V808" s="14">
        <v>1</v>
      </c>
      <c r="W808" s="14">
        <f t="shared" si="370"/>
        <v>0</v>
      </c>
      <c r="X808" s="35">
        <f t="shared" si="369"/>
        <v>0</v>
      </c>
      <c r="Y808" s="14"/>
      <c r="Z808" s="14"/>
    </row>
    <row r="809" spans="3:26" ht="15" hidden="1" outlineLevel="2">
      <c r="C809" s="1464"/>
      <c r="D809" s="1464"/>
      <c r="E809" s="1466"/>
      <c r="F809" s="1468"/>
      <c r="G809" s="343"/>
      <c r="H809" s="335" t="s">
        <v>4</v>
      </c>
      <c r="I809" s="341"/>
      <c r="J809" s="341"/>
      <c r="K809" s="341">
        <f t="shared" si="365"/>
        <v>0</v>
      </c>
      <c r="L809" s="341">
        <f t="shared" si="366"/>
        <v>0</v>
      </c>
      <c r="M809" s="342"/>
      <c r="N809" s="341"/>
      <c r="O809" s="338">
        <f t="shared" si="321"/>
        <v>0</v>
      </c>
      <c r="P809" s="341"/>
      <c r="Q809" s="431"/>
      <c r="R809" s="28">
        <f t="shared" si="367"/>
        <v>0.05</v>
      </c>
      <c r="S809" s="14"/>
      <c r="T809" s="423">
        <f t="shared" si="368"/>
        <v>0</v>
      </c>
      <c r="U809" s="14"/>
      <c r="V809" s="14">
        <v>1</v>
      </c>
      <c r="W809" s="14">
        <f t="shared" si="370"/>
        <v>0</v>
      </c>
      <c r="X809" s="35">
        <f t="shared" si="369"/>
        <v>0</v>
      </c>
      <c r="Y809" s="14"/>
      <c r="Z809" s="14"/>
    </row>
    <row r="810" spans="3:26" ht="15" hidden="1" outlineLevel="2">
      <c r="C810" s="1464"/>
      <c r="D810" s="1464"/>
      <c r="E810" s="1466"/>
      <c r="F810" s="1468"/>
      <c r="G810" s="343"/>
      <c r="H810" s="335" t="s">
        <v>4</v>
      </c>
      <c r="I810" s="341"/>
      <c r="J810" s="341"/>
      <c r="K810" s="341">
        <f t="shared" si="365"/>
        <v>0</v>
      </c>
      <c r="L810" s="341">
        <f t="shared" si="366"/>
        <v>0</v>
      </c>
      <c r="M810" s="342"/>
      <c r="N810" s="341"/>
      <c r="O810" s="338">
        <f t="shared" si="321"/>
        <v>0</v>
      </c>
      <c r="P810" s="341"/>
      <c r="Q810" s="431"/>
      <c r="R810" s="28">
        <f t="shared" si="367"/>
        <v>0.05</v>
      </c>
      <c r="S810" s="14"/>
      <c r="T810" s="423">
        <f t="shared" si="368"/>
        <v>0</v>
      </c>
      <c r="U810" s="14"/>
      <c r="V810" s="14">
        <v>1</v>
      </c>
      <c r="W810" s="14">
        <f t="shared" si="370"/>
        <v>0</v>
      </c>
      <c r="X810" s="35">
        <f t="shared" si="369"/>
        <v>0</v>
      </c>
      <c r="Y810" s="14"/>
      <c r="Z810" s="14"/>
    </row>
    <row r="811" spans="3:26" ht="15" hidden="1" outlineLevel="2">
      <c r="C811" s="1464"/>
      <c r="D811" s="1464"/>
      <c r="E811" s="1466"/>
      <c r="F811" s="1468"/>
      <c r="G811" s="343"/>
      <c r="H811" s="335" t="s">
        <v>4</v>
      </c>
      <c r="I811" s="341"/>
      <c r="J811" s="341"/>
      <c r="K811" s="341">
        <f t="shared" si="365"/>
        <v>0</v>
      </c>
      <c r="L811" s="341">
        <f t="shared" si="366"/>
        <v>0</v>
      </c>
      <c r="M811" s="342"/>
      <c r="N811" s="341"/>
      <c r="O811" s="338">
        <f t="shared" si="321"/>
        <v>0</v>
      </c>
      <c r="P811" s="341"/>
      <c r="Q811" s="431"/>
      <c r="R811" s="28">
        <f t="shared" si="367"/>
        <v>0.05</v>
      </c>
      <c r="S811" s="14"/>
      <c r="T811" s="423">
        <f t="shared" si="368"/>
        <v>0</v>
      </c>
      <c r="U811" s="14"/>
      <c r="V811" s="14">
        <v>1</v>
      </c>
      <c r="W811" s="14">
        <f t="shared" si="370"/>
        <v>0</v>
      </c>
      <c r="X811" s="35">
        <f t="shared" si="369"/>
        <v>0</v>
      </c>
      <c r="Y811" s="14"/>
      <c r="Z811" s="14"/>
    </row>
    <row r="812" spans="3:26" ht="15" hidden="1" outlineLevel="2">
      <c r="C812" s="1464"/>
      <c r="D812" s="1464"/>
      <c r="E812" s="1466"/>
      <c r="F812" s="1468"/>
      <c r="G812" s="343"/>
      <c r="H812" s="335" t="s">
        <v>4</v>
      </c>
      <c r="I812" s="341"/>
      <c r="J812" s="341"/>
      <c r="K812" s="341">
        <f t="shared" si="365"/>
        <v>0</v>
      </c>
      <c r="L812" s="341">
        <f t="shared" si="366"/>
        <v>0</v>
      </c>
      <c r="M812" s="342"/>
      <c r="N812" s="341"/>
      <c r="O812" s="338">
        <f t="shared" si="321"/>
        <v>0</v>
      </c>
      <c r="P812" s="341"/>
      <c r="Q812" s="431"/>
      <c r="R812" s="28">
        <f t="shared" si="367"/>
        <v>0.05</v>
      </c>
      <c r="S812" s="14"/>
      <c r="T812" s="423">
        <f t="shared" si="368"/>
        <v>0</v>
      </c>
      <c r="U812" s="14"/>
      <c r="V812" s="14">
        <v>1</v>
      </c>
      <c r="W812" s="14">
        <f t="shared" si="370"/>
        <v>0</v>
      </c>
      <c r="X812" s="35">
        <f t="shared" si="369"/>
        <v>0</v>
      </c>
      <c r="Y812" s="14"/>
      <c r="Z812" s="14"/>
    </row>
    <row r="813" spans="3:26" ht="15" hidden="1" outlineLevel="2">
      <c r="C813" s="1464"/>
      <c r="D813" s="1464"/>
      <c r="E813" s="1466"/>
      <c r="F813" s="1468"/>
      <c r="G813" s="344"/>
      <c r="H813" s="335" t="s">
        <v>4</v>
      </c>
      <c r="I813" s="345"/>
      <c r="J813" s="345"/>
      <c r="K813" s="341">
        <f t="shared" si="365"/>
        <v>0</v>
      </c>
      <c r="L813" s="341">
        <f t="shared" si="366"/>
        <v>0</v>
      </c>
      <c r="M813" s="346"/>
      <c r="N813" s="345"/>
      <c r="O813" s="338">
        <f t="shared" si="321"/>
        <v>0</v>
      </c>
      <c r="P813" s="345"/>
      <c r="Q813" s="432"/>
      <c r="R813" s="28">
        <f t="shared" si="367"/>
        <v>0.05</v>
      </c>
      <c r="S813" s="14"/>
      <c r="T813" s="423">
        <f t="shared" si="368"/>
        <v>0</v>
      </c>
      <c r="U813" s="14"/>
      <c r="V813" s="14">
        <v>1</v>
      </c>
      <c r="W813" s="14">
        <f t="shared" si="370"/>
        <v>0</v>
      </c>
      <c r="X813" s="35">
        <f t="shared" si="369"/>
        <v>0</v>
      </c>
      <c r="Y813" s="14"/>
      <c r="Z813" s="14"/>
    </row>
    <row r="814" spans="3:26" ht="15" hidden="1" outlineLevel="2">
      <c r="C814" s="1464"/>
      <c r="D814" s="1464"/>
      <c r="E814" s="1466"/>
      <c r="F814" s="1468"/>
      <c r="G814" s="343"/>
      <c r="H814" s="335" t="s">
        <v>4</v>
      </c>
      <c r="I814" s="341"/>
      <c r="J814" s="341"/>
      <c r="K814" s="341">
        <f t="shared" si="365"/>
        <v>0</v>
      </c>
      <c r="L814" s="341">
        <f t="shared" si="366"/>
        <v>0</v>
      </c>
      <c r="M814" s="342"/>
      <c r="N814" s="341"/>
      <c r="O814" s="338">
        <f t="shared" si="321"/>
        <v>0</v>
      </c>
      <c r="P814" s="341"/>
      <c r="Q814" s="431"/>
      <c r="R814" s="28">
        <f t="shared" si="367"/>
        <v>0.05</v>
      </c>
      <c r="S814" s="14"/>
      <c r="T814" s="423">
        <f t="shared" si="368"/>
        <v>0</v>
      </c>
      <c r="U814" s="14"/>
      <c r="V814" s="14">
        <v>1</v>
      </c>
      <c r="W814" s="14">
        <f t="shared" si="370"/>
        <v>0</v>
      </c>
      <c r="X814" s="35">
        <f t="shared" si="369"/>
        <v>0</v>
      </c>
      <c r="Y814" s="14"/>
      <c r="Z814" s="14"/>
    </row>
    <row r="815" spans="3:26" ht="15" hidden="1" outlineLevel="2">
      <c r="C815" s="1464"/>
      <c r="D815" s="1464"/>
      <c r="E815" s="1466"/>
      <c r="F815" s="1468"/>
      <c r="G815" s="1470" t="s">
        <v>45</v>
      </c>
      <c r="H815" s="1471"/>
      <c r="I815" s="347">
        <f>SUM(I805:I814)</f>
        <v>0</v>
      </c>
      <c r="J815" s="347">
        <f t="shared" ref="J815:K815" si="371">SUM(J805:J814)</f>
        <v>0</v>
      </c>
      <c r="K815" s="347">
        <f t="shared" si="371"/>
        <v>0</v>
      </c>
      <c r="L815" s="347">
        <f t="shared" ref="L815" si="372">SUM(L805:L814)</f>
        <v>0</v>
      </c>
      <c r="M815" s="348"/>
      <c r="N815" s="347">
        <f>N805</f>
        <v>0</v>
      </c>
      <c r="O815" s="349">
        <f t="shared" si="321"/>
        <v>0</v>
      </c>
      <c r="P815" s="347">
        <f t="shared" ref="P815:Q815" si="373">SUM(P805:P814)</f>
        <v>0</v>
      </c>
      <c r="Q815" s="433">
        <f t="shared" si="373"/>
        <v>0</v>
      </c>
      <c r="R815" s="36" t="str">
        <f t="shared" si="367"/>
        <v/>
      </c>
      <c r="S815" s="36">
        <f>SUM(S805:S814)</f>
        <v>0</v>
      </c>
      <c r="T815" s="420">
        <f t="shared" ref="T815" si="374">SUM(T805:T814)</f>
        <v>0</v>
      </c>
      <c r="U815" s="36"/>
      <c r="V815" s="36"/>
      <c r="W815" s="36">
        <f t="shared" ref="W815" si="375">SUM(W805:W814)</f>
        <v>0</v>
      </c>
      <c r="X815" s="36"/>
      <c r="Y815" s="14"/>
      <c r="Z815" s="14"/>
    </row>
    <row r="816" spans="3:26" ht="15" hidden="1" outlineLevel="2">
      <c r="C816" s="1464"/>
      <c r="D816" s="1464"/>
      <c r="E816" s="1466"/>
      <c r="F816" s="1468"/>
      <c r="G816" s="350"/>
      <c r="H816" s="340" t="s">
        <v>28</v>
      </c>
      <c r="I816" s="336"/>
      <c r="J816" s="336"/>
      <c r="K816" s="341">
        <f t="shared" ref="K816:K825" si="376">I816*R816/12</f>
        <v>0</v>
      </c>
      <c r="L816" s="341">
        <f t="shared" ref="L816:L825" si="377">J816*S816/12</f>
        <v>0</v>
      </c>
      <c r="M816" s="337"/>
      <c r="N816" s="336"/>
      <c r="O816" s="338">
        <f t="shared" si="321"/>
        <v>0</v>
      </c>
      <c r="P816" s="336"/>
      <c r="Q816" s="430"/>
      <c r="R816" s="28">
        <f t="shared" si="367"/>
        <v>3.5000000000000003E-2</v>
      </c>
      <c r="S816" s="14"/>
      <c r="T816" s="423">
        <f t="shared" ref="T816:T825" si="378">I816*R816</f>
        <v>0</v>
      </c>
      <c r="U816" s="14"/>
      <c r="V816" s="14">
        <v>1</v>
      </c>
      <c r="W816" s="14">
        <f t="shared" ref="W816:W825" si="379">T816*V816</f>
        <v>0</v>
      </c>
      <c r="X816" s="35">
        <f t="shared" ref="X816:X825" si="380">W816/usdrate</f>
        <v>0</v>
      </c>
      <c r="Y816" s="14"/>
      <c r="Z816" s="14"/>
    </row>
    <row r="817" spans="3:26" ht="15" hidden="1" outlineLevel="2">
      <c r="C817" s="1464"/>
      <c r="D817" s="1464"/>
      <c r="E817" s="1466"/>
      <c r="F817" s="1468"/>
      <c r="G817" s="343"/>
      <c r="H817" s="340" t="s">
        <v>28</v>
      </c>
      <c r="I817" s="341"/>
      <c r="J817" s="341"/>
      <c r="K817" s="341">
        <f t="shared" si="376"/>
        <v>0</v>
      </c>
      <c r="L817" s="341">
        <f t="shared" si="377"/>
        <v>0</v>
      </c>
      <c r="M817" s="342"/>
      <c r="N817" s="341"/>
      <c r="O817" s="338">
        <f t="shared" si="321"/>
        <v>0</v>
      </c>
      <c r="P817" s="341"/>
      <c r="Q817" s="431"/>
      <c r="R817" s="28">
        <f t="shared" si="367"/>
        <v>3.5000000000000003E-2</v>
      </c>
      <c r="S817" s="14"/>
      <c r="T817" s="423">
        <f t="shared" si="378"/>
        <v>0</v>
      </c>
      <c r="U817" s="14"/>
      <c r="V817" s="14">
        <v>1</v>
      </c>
      <c r="W817" s="14">
        <f t="shared" si="379"/>
        <v>0</v>
      </c>
      <c r="X817" s="35">
        <f t="shared" si="380"/>
        <v>0</v>
      </c>
      <c r="Y817" s="14"/>
      <c r="Z817" s="14"/>
    </row>
    <row r="818" spans="3:26" ht="15" hidden="1" outlineLevel="2">
      <c r="C818" s="1464"/>
      <c r="D818" s="1464"/>
      <c r="E818" s="1466"/>
      <c r="F818" s="1468"/>
      <c r="G818" s="343"/>
      <c r="H818" s="340" t="s">
        <v>28</v>
      </c>
      <c r="I818" s="341"/>
      <c r="J818" s="341"/>
      <c r="K818" s="341">
        <f t="shared" si="376"/>
        <v>0</v>
      </c>
      <c r="L818" s="341">
        <f t="shared" si="377"/>
        <v>0</v>
      </c>
      <c r="M818" s="337"/>
      <c r="N818" s="341"/>
      <c r="O818" s="338">
        <f t="shared" si="321"/>
        <v>0</v>
      </c>
      <c r="P818" s="341"/>
      <c r="Q818" s="431"/>
      <c r="R818" s="28">
        <f t="shared" si="367"/>
        <v>3.5000000000000003E-2</v>
      </c>
      <c r="S818" s="14"/>
      <c r="T818" s="423">
        <f t="shared" si="378"/>
        <v>0</v>
      </c>
      <c r="U818" s="14"/>
      <c r="V818" s="14">
        <v>1</v>
      </c>
      <c r="W818" s="14">
        <f t="shared" si="379"/>
        <v>0</v>
      </c>
      <c r="X818" s="35">
        <f t="shared" si="380"/>
        <v>0</v>
      </c>
      <c r="Y818" s="14"/>
      <c r="Z818" s="14"/>
    </row>
    <row r="819" spans="3:26" ht="15" hidden="1" outlineLevel="2">
      <c r="C819" s="1464"/>
      <c r="D819" s="1464"/>
      <c r="E819" s="1466"/>
      <c r="F819" s="1468"/>
      <c r="G819" s="343"/>
      <c r="H819" s="340" t="s">
        <v>28</v>
      </c>
      <c r="I819" s="341"/>
      <c r="J819" s="341"/>
      <c r="K819" s="341">
        <f t="shared" si="376"/>
        <v>0</v>
      </c>
      <c r="L819" s="341">
        <f t="shared" si="377"/>
        <v>0</v>
      </c>
      <c r="M819" s="342"/>
      <c r="N819" s="341"/>
      <c r="O819" s="338">
        <f t="shared" si="321"/>
        <v>0</v>
      </c>
      <c r="P819" s="341"/>
      <c r="Q819" s="431"/>
      <c r="R819" s="28">
        <f t="shared" si="367"/>
        <v>3.5000000000000003E-2</v>
      </c>
      <c r="S819" s="14"/>
      <c r="T819" s="423">
        <f t="shared" si="378"/>
        <v>0</v>
      </c>
      <c r="U819" s="14"/>
      <c r="V819" s="14">
        <v>1</v>
      </c>
      <c r="W819" s="14">
        <f t="shared" si="379"/>
        <v>0</v>
      </c>
      <c r="X819" s="35">
        <f t="shared" si="380"/>
        <v>0</v>
      </c>
      <c r="Y819" s="14"/>
      <c r="Z819" s="14"/>
    </row>
    <row r="820" spans="3:26" ht="15" hidden="1" outlineLevel="2">
      <c r="C820" s="1464"/>
      <c r="D820" s="1464"/>
      <c r="E820" s="1466"/>
      <c r="F820" s="1468"/>
      <c r="G820" s="343"/>
      <c r="H820" s="340" t="s">
        <v>28</v>
      </c>
      <c r="I820" s="341"/>
      <c r="J820" s="341"/>
      <c r="K820" s="341">
        <f t="shared" si="376"/>
        <v>0</v>
      </c>
      <c r="L820" s="341">
        <f t="shared" si="377"/>
        <v>0</v>
      </c>
      <c r="M820" s="342"/>
      <c r="N820" s="341"/>
      <c r="O820" s="338">
        <f t="shared" si="321"/>
        <v>0</v>
      </c>
      <c r="P820" s="341"/>
      <c r="Q820" s="431"/>
      <c r="R820" s="28">
        <f t="shared" si="367"/>
        <v>3.5000000000000003E-2</v>
      </c>
      <c r="S820" s="14"/>
      <c r="T820" s="423">
        <f t="shared" si="378"/>
        <v>0</v>
      </c>
      <c r="U820" s="14"/>
      <c r="V820" s="14">
        <v>1</v>
      </c>
      <c r="W820" s="14">
        <f t="shared" si="379"/>
        <v>0</v>
      </c>
      <c r="X820" s="35">
        <f t="shared" si="380"/>
        <v>0</v>
      </c>
      <c r="Y820" s="14"/>
      <c r="Z820" s="14"/>
    </row>
    <row r="821" spans="3:26" ht="15" hidden="1" outlineLevel="2">
      <c r="C821" s="1464"/>
      <c r="D821" s="1464"/>
      <c r="E821" s="1466"/>
      <c r="F821" s="1468"/>
      <c r="G821" s="343"/>
      <c r="H821" s="340" t="s">
        <v>28</v>
      </c>
      <c r="I821" s="341"/>
      <c r="J821" s="341"/>
      <c r="K821" s="341">
        <f t="shared" si="376"/>
        <v>0</v>
      </c>
      <c r="L821" s="341">
        <f t="shared" si="377"/>
        <v>0</v>
      </c>
      <c r="M821" s="342"/>
      <c r="N821" s="341"/>
      <c r="O821" s="338">
        <f t="shared" si="321"/>
        <v>0</v>
      </c>
      <c r="P821" s="341"/>
      <c r="Q821" s="431"/>
      <c r="R821" s="28">
        <f t="shared" si="367"/>
        <v>3.5000000000000003E-2</v>
      </c>
      <c r="S821" s="14"/>
      <c r="T821" s="423">
        <f t="shared" si="378"/>
        <v>0</v>
      </c>
      <c r="U821" s="14"/>
      <c r="V821" s="14">
        <v>1</v>
      </c>
      <c r="W821" s="14">
        <f t="shared" si="379"/>
        <v>0</v>
      </c>
      <c r="X821" s="35">
        <f t="shared" si="380"/>
        <v>0</v>
      </c>
      <c r="Y821" s="14"/>
      <c r="Z821" s="14"/>
    </row>
    <row r="822" spans="3:26" ht="15" hidden="1" outlineLevel="2">
      <c r="C822" s="1464"/>
      <c r="D822" s="1464"/>
      <c r="E822" s="1466"/>
      <c r="F822" s="1468"/>
      <c r="G822" s="343"/>
      <c r="H822" s="340" t="s">
        <v>28</v>
      </c>
      <c r="I822" s="341"/>
      <c r="J822" s="341"/>
      <c r="K822" s="341">
        <f t="shared" si="376"/>
        <v>0</v>
      </c>
      <c r="L822" s="341">
        <f t="shared" si="377"/>
        <v>0</v>
      </c>
      <c r="M822" s="342"/>
      <c r="N822" s="341"/>
      <c r="O822" s="338">
        <f t="shared" si="321"/>
        <v>0</v>
      </c>
      <c r="P822" s="341"/>
      <c r="Q822" s="431"/>
      <c r="R822" s="28">
        <f t="shared" si="367"/>
        <v>3.5000000000000003E-2</v>
      </c>
      <c r="S822" s="14"/>
      <c r="T822" s="423">
        <f t="shared" si="378"/>
        <v>0</v>
      </c>
      <c r="U822" s="14"/>
      <c r="V822" s="14">
        <v>1</v>
      </c>
      <c r="W822" s="14">
        <f t="shared" si="379"/>
        <v>0</v>
      </c>
      <c r="X822" s="35">
        <f t="shared" si="380"/>
        <v>0</v>
      </c>
      <c r="Y822" s="29"/>
      <c r="Z822" s="29"/>
    </row>
    <row r="823" spans="3:26" ht="15" hidden="1" outlineLevel="2">
      <c r="C823" s="1464"/>
      <c r="D823" s="1464"/>
      <c r="E823" s="1466"/>
      <c r="F823" s="1468"/>
      <c r="G823" s="343"/>
      <c r="H823" s="340" t="s">
        <v>28</v>
      </c>
      <c r="I823" s="341"/>
      <c r="J823" s="341"/>
      <c r="K823" s="341">
        <f t="shared" si="376"/>
        <v>0</v>
      </c>
      <c r="L823" s="341">
        <f t="shared" si="377"/>
        <v>0</v>
      </c>
      <c r="M823" s="342"/>
      <c r="N823" s="341"/>
      <c r="O823" s="338">
        <f t="shared" si="321"/>
        <v>0</v>
      </c>
      <c r="P823" s="341"/>
      <c r="Q823" s="431"/>
      <c r="R823" s="28">
        <f t="shared" si="367"/>
        <v>3.5000000000000003E-2</v>
      </c>
      <c r="S823" s="14"/>
      <c r="T823" s="423">
        <f t="shared" si="378"/>
        <v>0</v>
      </c>
      <c r="U823" s="14"/>
      <c r="V823" s="14">
        <v>1</v>
      </c>
      <c r="W823" s="14">
        <f t="shared" si="379"/>
        <v>0</v>
      </c>
      <c r="X823" s="35">
        <f t="shared" si="380"/>
        <v>0</v>
      </c>
      <c r="Y823" s="14"/>
      <c r="Z823" s="14"/>
    </row>
    <row r="824" spans="3:26" ht="15" hidden="1" outlineLevel="2">
      <c r="C824" s="1464"/>
      <c r="D824" s="1464"/>
      <c r="E824" s="1466"/>
      <c r="F824" s="1468"/>
      <c r="G824" s="344"/>
      <c r="H824" s="340" t="s">
        <v>28</v>
      </c>
      <c r="I824" s="345"/>
      <c r="J824" s="345"/>
      <c r="K824" s="341">
        <f t="shared" si="376"/>
        <v>0</v>
      </c>
      <c r="L824" s="341">
        <f t="shared" si="377"/>
        <v>0</v>
      </c>
      <c r="M824" s="346"/>
      <c r="N824" s="345"/>
      <c r="O824" s="338">
        <f t="shared" si="321"/>
        <v>0</v>
      </c>
      <c r="P824" s="345"/>
      <c r="Q824" s="432"/>
      <c r="R824" s="28">
        <f t="shared" si="367"/>
        <v>3.5000000000000003E-2</v>
      </c>
      <c r="S824" s="14"/>
      <c r="T824" s="423">
        <f t="shared" si="378"/>
        <v>0</v>
      </c>
      <c r="U824" s="14"/>
      <c r="V824" s="14">
        <v>1</v>
      </c>
      <c r="W824" s="14">
        <f t="shared" si="379"/>
        <v>0</v>
      </c>
      <c r="X824" s="35">
        <f t="shared" si="380"/>
        <v>0</v>
      </c>
      <c r="Y824" s="14"/>
      <c r="Z824" s="14"/>
    </row>
    <row r="825" spans="3:26" ht="15" hidden="1" outlineLevel="2">
      <c r="C825" s="1464"/>
      <c r="D825" s="1464"/>
      <c r="E825" s="1466"/>
      <c r="F825" s="1468"/>
      <c r="G825" s="343"/>
      <c r="H825" s="340" t="s">
        <v>28</v>
      </c>
      <c r="I825" s="341"/>
      <c r="J825" s="341"/>
      <c r="K825" s="341">
        <f t="shared" si="376"/>
        <v>0</v>
      </c>
      <c r="L825" s="341">
        <f t="shared" si="377"/>
        <v>0</v>
      </c>
      <c r="M825" s="342"/>
      <c r="N825" s="341"/>
      <c r="O825" s="338">
        <f t="shared" si="321"/>
        <v>0</v>
      </c>
      <c r="P825" s="341"/>
      <c r="Q825" s="431"/>
      <c r="R825" s="28">
        <f t="shared" si="367"/>
        <v>3.5000000000000003E-2</v>
      </c>
      <c r="S825" s="14"/>
      <c r="T825" s="423">
        <f t="shared" si="378"/>
        <v>0</v>
      </c>
      <c r="U825" s="14"/>
      <c r="V825" s="14">
        <v>1</v>
      </c>
      <c r="W825" s="14">
        <f t="shared" si="379"/>
        <v>0</v>
      </c>
      <c r="X825" s="35">
        <f t="shared" si="380"/>
        <v>0</v>
      </c>
      <c r="Y825" s="14"/>
      <c r="Z825" s="14"/>
    </row>
    <row r="826" spans="3:26" ht="15" hidden="1" outlineLevel="2">
      <c r="C826" s="1464"/>
      <c r="D826" s="1464"/>
      <c r="E826" s="1466"/>
      <c r="F826" s="1468"/>
      <c r="G826" s="1470" t="s">
        <v>51</v>
      </c>
      <c r="H826" s="1471"/>
      <c r="I826" s="347">
        <f>SUM(I816:I825)</f>
        <v>0</v>
      </c>
      <c r="J826" s="347">
        <f t="shared" ref="J826:K826" si="381">SUM(J816:J825)</f>
        <v>0</v>
      </c>
      <c r="K826" s="347">
        <f t="shared" si="381"/>
        <v>0</v>
      </c>
      <c r="L826" s="347">
        <f t="shared" ref="L826" si="382">SUM(L816:L825)</f>
        <v>0</v>
      </c>
      <c r="M826" s="348"/>
      <c r="N826" s="347">
        <f>N816</f>
        <v>0</v>
      </c>
      <c r="O826" s="349">
        <f t="shared" si="321"/>
        <v>0</v>
      </c>
      <c r="P826" s="347">
        <f t="shared" ref="P826:Q826" si="383">SUM(P816:P825)</f>
        <v>0</v>
      </c>
      <c r="Q826" s="433">
        <f t="shared" si="383"/>
        <v>0</v>
      </c>
      <c r="R826" s="36" t="str">
        <f t="shared" si="367"/>
        <v/>
      </c>
      <c r="S826" s="36">
        <f>SUM(S816:S825)</f>
        <v>0</v>
      </c>
      <c r="T826" s="420">
        <f t="shared" ref="T826" si="384">SUM(T816:T825)</f>
        <v>0</v>
      </c>
      <c r="U826" s="36"/>
      <c r="V826" s="36"/>
      <c r="W826" s="36">
        <f t="shared" ref="W826" si="385">SUM(W816:W825)</f>
        <v>0</v>
      </c>
      <c r="X826" s="36"/>
      <c r="Y826" s="14"/>
      <c r="Z826" s="14"/>
    </row>
    <row r="827" spans="3:26" ht="15" hidden="1" outlineLevel="2">
      <c r="C827" s="1464"/>
      <c r="D827" s="1464"/>
      <c r="E827" s="1466"/>
      <c r="F827" s="1468"/>
      <c r="G827" s="350"/>
      <c r="H827" s="335" t="s">
        <v>22</v>
      </c>
      <c r="I827" s="336"/>
      <c r="J827" s="336"/>
      <c r="K827" s="341">
        <f t="shared" ref="K827:K836" si="386">I827*R827/12</f>
        <v>0</v>
      </c>
      <c r="L827" s="341">
        <f t="shared" ref="L827:L836" si="387">J827*S827/12</f>
        <v>0</v>
      </c>
      <c r="M827" s="337"/>
      <c r="N827" s="336"/>
      <c r="O827" s="338">
        <f t="shared" si="321"/>
        <v>0</v>
      </c>
      <c r="P827" s="336"/>
      <c r="Q827" s="430"/>
      <c r="R827" s="28">
        <f t="shared" si="367"/>
        <v>3.5000000000000003E-2</v>
      </c>
      <c r="S827" s="14"/>
      <c r="T827" s="423">
        <f t="shared" ref="T827:T836" si="388">I827*R827</f>
        <v>0</v>
      </c>
      <c r="U827" s="14"/>
      <c r="V827" s="14">
        <v>1</v>
      </c>
      <c r="W827" s="14">
        <f t="shared" ref="W827:W836" si="389">T827*V827</f>
        <v>0</v>
      </c>
      <c r="X827" s="35">
        <f t="shared" ref="X827:X836" si="390">W827/usdrate</f>
        <v>0</v>
      </c>
      <c r="Y827" s="14"/>
      <c r="Z827" s="14"/>
    </row>
    <row r="828" spans="3:26" ht="15" hidden="1" outlineLevel="2">
      <c r="C828" s="1464"/>
      <c r="D828" s="1464"/>
      <c r="E828" s="1466"/>
      <c r="F828" s="1468"/>
      <c r="G828" s="343"/>
      <c r="H828" s="335" t="s">
        <v>22</v>
      </c>
      <c r="I828" s="341"/>
      <c r="J828" s="341"/>
      <c r="K828" s="341">
        <f t="shared" si="386"/>
        <v>0</v>
      </c>
      <c r="L828" s="341">
        <f t="shared" si="387"/>
        <v>0</v>
      </c>
      <c r="M828" s="342"/>
      <c r="N828" s="341"/>
      <c r="O828" s="338">
        <f t="shared" si="321"/>
        <v>0</v>
      </c>
      <c r="P828" s="341"/>
      <c r="Q828" s="431"/>
      <c r="R828" s="28">
        <f t="shared" si="367"/>
        <v>3.5000000000000003E-2</v>
      </c>
      <c r="S828" s="14"/>
      <c r="T828" s="423">
        <f t="shared" si="388"/>
        <v>0</v>
      </c>
      <c r="U828" s="14"/>
      <c r="V828" s="14">
        <v>1</v>
      </c>
      <c r="W828" s="14">
        <f t="shared" si="389"/>
        <v>0</v>
      </c>
      <c r="X828" s="35">
        <f t="shared" si="390"/>
        <v>0</v>
      </c>
      <c r="Y828" s="14"/>
      <c r="Z828" s="14"/>
    </row>
    <row r="829" spans="3:26" ht="15" hidden="1" outlineLevel="2">
      <c r="C829" s="1464"/>
      <c r="D829" s="1464"/>
      <c r="E829" s="1466"/>
      <c r="F829" s="1468"/>
      <c r="G829" s="343"/>
      <c r="H829" s="335" t="s">
        <v>22</v>
      </c>
      <c r="I829" s="341"/>
      <c r="J829" s="341"/>
      <c r="K829" s="341">
        <f t="shared" si="386"/>
        <v>0</v>
      </c>
      <c r="L829" s="341">
        <f t="shared" si="387"/>
        <v>0</v>
      </c>
      <c r="M829" s="337"/>
      <c r="N829" s="341"/>
      <c r="O829" s="338">
        <f t="shared" si="321"/>
        <v>0</v>
      </c>
      <c r="P829" s="341"/>
      <c r="Q829" s="431"/>
      <c r="R829" s="28">
        <f t="shared" si="367"/>
        <v>3.5000000000000003E-2</v>
      </c>
      <c r="S829" s="14"/>
      <c r="T829" s="423">
        <f t="shared" si="388"/>
        <v>0</v>
      </c>
      <c r="U829" s="14"/>
      <c r="V829" s="14">
        <v>1</v>
      </c>
      <c r="W829" s="14">
        <f t="shared" si="389"/>
        <v>0</v>
      </c>
      <c r="X829" s="35">
        <f t="shared" si="390"/>
        <v>0</v>
      </c>
      <c r="Y829" s="14"/>
      <c r="Z829" s="14"/>
    </row>
    <row r="830" spans="3:26" ht="15" hidden="1" outlineLevel="2">
      <c r="C830" s="1464"/>
      <c r="D830" s="1464"/>
      <c r="E830" s="1466"/>
      <c r="F830" s="1468"/>
      <c r="G830" s="343"/>
      <c r="H830" s="335" t="s">
        <v>22</v>
      </c>
      <c r="I830" s="341"/>
      <c r="J830" s="341"/>
      <c r="K830" s="341">
        <f t="shared" si="386"/>
        <v>0</v>
      </c>
      <c r="L830" s="341">
        <f t="shared" si="387"/>
        <v>0</v>
      </c>
      <c r="M830" s="342"/>
      <c r="N830" s="341"/>
      <c r="O830" s="338">
        <f t="shared" si="321"/>
        <v>0</v>
      </c>
      <c r="P830" s="341"/>
      <c r="Q830" s="431"/>
      <c r="R830" s="28">
        <f t="shared" si="367"/>
        <v>3.5000000000000003E-2</v>
      </c>
      <c r="S830" s="14"/>
      <c r="T830" s="423">
        <f t="shared" si="388"/>
        <v>0</v>
      </c>
      <c r="U830" s="14"/>
      <c r="V830" s="14">
        <v>1</v>
      </c>
      <c r="W830" s="14">
        <f t="shared" si="389"/>
        <v>0</v>
      </c>
      <c r="X830" s="35">
        <f t="shared" si="390"/>
        <v>0</v>
      </c>
      <c r="Y830" s="14"/>
      <c r="Z830" s="14"/>
    </row>
    <row r="831" spans="3:26" ht="15" hidden="1" outlineLevel="2">
      <c r="C831" s="1464"/>
      <c r="D831" s="1464"/>
      <c r="E831" s="1466"/>
      <c r="F831" s="1468"/>
      <c r="G831" s="343"/>
      <c r="H831" s="335" t="s">
        <v>22</v>
      </c>
      <c r="I831" s="341"/>
      <c r="J831" s="341"/>
      <c r="K831" s="341">
        <f t="shared" si="386"/>
        <v>0</v>
      </c>
      <c r="L831" s="341">
        <f t="shared" si="387"/>
        <v>0</v>
      </c>
      <c r="M831" s="342"/>
      <c r="N831" s="341"/>
      <c r="O831" s="338">
        <f t="shared" si="321"/>
        <v>0</v>
      </c>
      <c r="P831" s="341"/>
      <c r="Q831" s="431"/>
      <c r="R831" s="28">
        <f t="shared" si="367"/>
        <v>3.5000000000000003E-2</v>
      </c>
      <c r="S831" s="14"/>
      <c r="T831" s="423">
        <f t="shared" si="388"/>
        <v>0</v>
      </c>
      <c r="U831" s="14"/>
      <c r="V831" s="14">
        <v>1</v>
      </c>
      <c r="W831" s="14">
        <f t="shared" si="389"/>
        <v>0</v>
      </c>
      <c r="X831" s="35">
        <f t="shared" si="390"/>
        <v>0</v>
      </c>
      <c r="Y831" s="14"/>
      <c r="Z831" s="14"/>
    </row>
    <row r="832" spans="3:26" ht="15" hidden="1" outlineLevel="2">
      <c r="C832" s="1464"/>
      <c r="D832" s="1464"/>
      <c r="E832" s="1466"/>
      <c r="F832" s="1468"/>
      <c r="G832" s="343"/>
      <c r="H832" s="335" t="s">
        <v>22</v>
      </c>
      <c r="I832" s="341"/>
      <c r="J832" s="341"/>
      <c r="K832" s="341">
        <f t="shared" si="386"/>
        <v>0</v>
      </c>
      <c r="L832" s="341">
        <f t="shared" si="387"/>
        <v>0</v>
      </c>
      <c r="M832" s="342"/>
      <c r="N832" s="341"/>
      <c r="O832" s="338">
        <f t="shared" ref="O832:O872" si="391">IF(N832=0,0,N832/J832)</f>
        <v>0</v>
      </c>
      <c r="P832" s="341"/>
      <c r="Q832" s="431"/>
      <c r="R832" s="28">
        <f t="shared" si="367"/>
        <v>3.5000000000000003E-2</v>
      </c>
      <c r="S832" s="14"/>
      <c r="T832" s="423">
        <f t="shared" si="388"/>
        <v>0</v>
      </c>
      <c r="U832" s="14"/>
      <c r="V832" s="14">
        <v>1</v>
      </c>
      <c r="W832" s="14">
        <f t="shared" si="389"/>
        <v>0</v>
      </c>
      <c r="X832" s="35">
        <f t="shared" si="390"/>
        <v>0</v>
      </c>
      <c r="Y832" s="14"/>
      <c r="Z832" s="14"/>
    </row>
    <row r="833" spans="3:26" ht="15" hidden="1" outlineLevel="2">
      <c r="C833" s="1464"/>
      <c r="D833" s="1464"/>
      <c r="E833" s="1466"/>
      <c r="F833" s="1468"/>
      <c r="G833" s="343"/>
      <c r="H833" s="335" t="s">
        <v>22</v>
      </c>
      <c r="I833" s="341"/>
      <c r="J833" s="341"/>
      <c r="K833" s="341">
        <f t="shared" si="386"/>
        <v>0</v>
      </c>
      <c r="L833" s="341">
        <f t="shared" si="387"/>
        <v>0</v>
      </c>
      <c r="M833" s="342"/>
      <c r="N833" s="341"/>
      <c r="O833" s="338">
        <f t="shared" si="391"/>
        <v>0</v>
      </c>
      <c r="P833" s="341"/>
      <c r="Q833" s="431"/>
      <c r="R833" s="28">
        <f t="shared" si="367"/>
        <v>3.5000000000000003E-2</v>
      </c>
      <c r="S833" s="14"/>
      <c r="T833" s="423">
        <f t="shared" si="388"/>
        <v>0</v>
      </c>
      <c r="U833" s="14"/>
      <c r="V833" s="14">
        <v>1</v>
      </c>
      <c r="W833" s="14">
        <f t="shared" si="389"/>
        <v>0</v>
      </c>
      <c r="X833" s="35">
        <f t="shared" si="390"/>
        <v>0</v>
      </c>
      <c r="Y833" s="14"/>
      <c r="Z833" s="14"/>
    </row>
    <row r="834" spans="3:26" ht="15" hidden="1" outlineLevel="2">
      <c r="C834" s="1464"/>
      <c r="D834" s="1464"/>
      <c r="E834" s="1466"/>
      <c r="F834" s="1468"/>
      <c r="G834" s="343"/>
      <c r="H834" s="335" t="s">
        <v>22</v>
      </c>
      <c r="I834" s="341"/>
      <c r="J834" s="341"/>
      <c r="K834" s="341">
        <f t="shared" si="386"/>
        <v>0</v>
      </c>
      <c r="L834" s="341">
        <f t="shared" si="387"/>
        <v>0</v>
      </c>
      <c r="M834" s="342"/>
      <c r="N834" s="341"/>
      <c r="O834" s="338">
        <f t="shared" si="391"/>
        <v>0</v>
      </c>
      <c r="P834" s="341"/>
      <c r="Q834" s="431"/>
      <c r="R834" s="28">
        <f t="shared" si="367"/>
        <v>3.5000000000000003E-2</v>
      </c>
      <c r="S834" s="14"/>
      <c r="T834" s="423">
        <f t="shared" si="388"/>
        <v>0</v>
      </c>
      <c r="U834" s="14"/>
      <c r="V834" s="14">
        <v>1</v>
      </c>
      <c r="W834" s="14">
        <f t="shared" si="389"/>
        <v>0</v>
      </c>
      <c r="X834" s="35">
        <f t="shared" si="390"/>
        <v>0</v>
      </c>
      <c r="Y834" s="14"/>
      <c r="Z834" s="14"/>
    </row>
    <row r="835" spans="3:26" ht="15" hidden="1" outlineLevel="2">
      <c r="C835" s="1464"/>
      <c r="D835" s="1464"/>
      <c r="E835" s="1466"/>
      <c r="F835" s="1468"/>
      <c r="G835" s="344"/>
      <c r="H835" s="335" t="s">
        <v>22</v>
      </c>
      <c r="I835" s="345"/>
      <c r="J835" s="345"/>
      <c r="K835" s="341">
        <f t="shared" si="386"/>
        <v>0</v>
      </c>
      <c r="L835" s="341">
        <f t="shared" si="387"/>
        <v>0</v>
      </c>
      <c r="M835" s="346"/>
      <c r="N835" s="345"/>
      <c r="O835" s="338">
        <f t="shared" si="391"/>
        <v>0</v>
      </c>
      <c r="P835" s="345"/>
      <c r="Q835" s="432"/>
      <c r="R835" s="28">
        <f t="shared" si="367"/>
        <v>3.5000000000000003E-2</v>
      </c>
      <c r="S835" s="14"/>
      <c r="T835" s="423">
        <f t="shared" si="388"/>
        <v>0</v>
      </c>
      <c r="U835" s="14"/>
      <c r="V835" s="14">
        <v>1</v>
      </c>
      <c r="W835" s="14">
        <f t="shared" si="389"/>
        <v>0</v>
      </c>
      <c r="X835" s="35">
        <f t="shared" si="390"/>
        <v>0</v>
      </c>
      <c r="Y835" s="14"/>
      <c r="Z835" s="14"/>
    </row>
    <row r="836" spans="3:26" ht="15" hidden="1" outlineLevel="2">
      <c r="C836" s="1464"/>
      <c r="D836" s="1464"/>
      <c r="E836" s="1466"/>
      <c r="F836" s="1468"/>
      <c r="G836" s="343"/>
      <c r="H836" s="335" t="s">
        <v>22</v>
      </c>
      <c r="I836" s="341"/>
      <c r="J836" s="341"/>
      <c r="K836" s="341">
        <f t="shared" si="386"/>
        <v>0</v>
      </c>
      <c r="L836" s="341">
        <f t="shared" si="387"/>
        <v>0</v>
      </c>
      <c r="M836" s="342"/>
      <c r="N836" s="341"/>
      <c r="O836" s="338">
        <f t="shared" si="391"/>
        <v>0</v>
      </c>
      <c r="P836" s="341"/>
      <c r="Q836" s="431"/>
      <c r="R836" s="28">
        <f t="shared" si="367"/>
        <v>3.5000000000000003E-2</v>
      </c>
      <c r="S836" s="14"/>
      <c r="T836" s="423">
        <f t="shared" si="388"/>
        <v>0</v>
      </c>
      <c r="U836" s="14"/>
      <c r="V836" s="14">
        <v>1</v>
      </c>
      <c r="W836" s="14">
        <f t="shared" si="389"/>
        <v>0</v>
      </c>
      <c r="X836" s="35">
        <f t="shared" si="390"/>
        <v>0</v>
      </c>
      <c r="Y836" s="14"/>
      <c r="Z836" s="14"/>
    </row>
    <row r="837" spans="3:26" ht="15" hidden="1" outlineLevel="2">
      <c r="C837" s="1464"/>
      <c r="D837" s="1464"/>
      <c r="E837" s="1466"/>
      <c r="F837" s="1468"/>
      <c r="G837" s="1470" t="s">
        <v>44</v>
      </c>
      <c r="H837" s="1471"/>
      <c r="I837" s="347">
        <f>SUM(I827:I836)</f>
        <v>0</v>
      </c>
      <c r="J837" s="347">
        <f t="shared" ref="J837" si="392">SUM(J827:J836)</f>
        <v>0</v>
      </c>
      <c r="K837" s="347">
        <f>SUM(K827:K836)</f>
        <v>0</v>
      </c>
      <c r="L837" s="347">
        <f>SUM(L827:L836)</f>
        <v>0</v>
      </c>
      <c r="M837" s="348"/>
      <c r="N837" s="347">
        <f>N827</f>
        <v>0</v>
      </c>
      <c r="O837" s="349">
        <f t="shared" si="391"/>
        <v>0</v>
      </c>
      <c r="P837" s="347">
        <f t="shared" ref="P837:Q837" si="393">SUM(P827:P836)</f>
        <v>0</v>
      </c>
      <c r="Q837" s="433">
        <f t="shared" si="393"/>
        <v>0</v>
      </c>
      <c r="R837" s="36" t="str">
        <f t="shared" si="367"/>
        <v/>
      </c>
      <c r="S837" s="36">
        <f>SUM(S827:S836)</f>
        <v>0</v>
      </c>
      <c r="T837" s="420">
        <f t="shared" ref="T837" si="394">SUM(T827:T836)</f>
        <v>0</v>
      </c>
      <c r="U837" s="36"/>
      <c r="V837" s="36"/>
      <c r="W837" s="36">
        <f t="shared" ref="W837" si="395">SUM(W827:W836)</f>
        <v>0</v>
      </c>
      <c r="X837" s="36"/>
      <c r="Y837" s="14"/>
      <c r="Z837" s="14"/>
    </row>
    <row r="838" spans="3:26" ht="15" outlineLevel="1" collapsed="1">
      <c r="C838" s="1464"/>
      <c r="D838" s="1464"/>
      <c r="E838" s="1466"/>
      <c r="F838" s="1469"/>
      <c r="G838" s="1470" t="s">
        <v>177</v>
      </c>
      <c r="H838" s="1471"/>
      <c r="I838" s="347">
        <f>(I815/usdrate)+(I826*jodrate)+I837</f>
        <v>0</v>
      </c>
      <c r="J838" s="347">
        <f>(J815/usdrate)+(J826*jodrate)+J837</f>
        <v>0</v>
      </c>
      <c r="K838" s="347">
        <f>(K815/usdrate)+(K826*jodrate)+K837</f>
        <v>0</v>
      </c>
      <c r="L838" s="347">
        <f>(L815/usdrate)+(L826*jodrate)+L837</f>
        <v>0</v>
      </c>
      <c r="M838" s="348"/>
      <c r="N838" s="347">
        <f>(N815/usdrate)+(N826*jodrate)+N837</f>
        <v>0</v>
      </c>
      <c r="O838" s="349">
        <f t="shared" si="391"/>
        <v>0</v>
      </c>
      <c r="P838" s="347">
        <f>(P815/usdrate)+(P826*jodrate)+P837</f>
        <v>0</v>
      </c>
      <c r="Q838" s="433">
        <f>(Q815/usdrate)+(Q826*jodrate)+Q837</f>
        <v>0</v>
      </c>
      <c r="R838" s="58"/>
      <c r="S838" s="36">
        <f t="shared" ref="S838:W838" si="396">(S815/usdrate)+(S826*jodrate)+S837</f>
        <v>0</v>
      </c>
      <c r="T838" s="420">
        <f t="shared" si="396"/>
        <v>0</v>
      </c>
      <c r="U838" s="36">
        <f t="shared" si="396"/>
        <v>0</v>
      </c>
      <c r="V838" s="36">
        <f t="shared" si="396"/>
        <v>0</v>
      </c>
      <c r="W838" s="36">
        <f t="shared" si="396"/>
        <v>0</v>
      </c>
      <c r="X838" s="36"/>
      <c r="Y838" s="14"/>
      <c r="Z838" s="14"/>
    </row>
    <row r="839" spans="3:26" ht="15" hidden="1" outlineLevel="2">
      <c r="C839" s="1464"/>
      <c r="D839" s="1464"/>
      <c r="E839" s="1466"/>
      <c r="F839" s="1472" t="s">
        <v>171</v>
      </c>
      <c r="G839" s="353"/>
      <c r="H839" s="340" t="s">
        <v>4</v>
      </c>
      <c r="I839" s="341"/>
      <c r="J839" s="341"/>
      <c r="K839" s="341"/>
      <c r="L839" s="341"/>
      <c r="M839" s="337"/>
      <c r="N839" s="336"/>
      <c r="O839" s="338">
        <f t="shared" si="391"/>
        <v>0</v>
      </c>
      <c r="P839" s="341"/>
      <c r="Q839" s="431"/>
      <c r="R839" s="28"/>
      <c r="S839" s="14"/>
      <c r="T839" s="423"/>
      <c r="U839" s="14"/>
      <c r="V839" s="14"/>
      <c r="W839" s="14"/>
      <c r="X839" s="14"/>
      <c r="Y839" s="14"/>
      <c r="Z839" s="14"/>
    </row>
    <row r="840" spans="3:26" ht="15" hidden="1" outlineLevel="2">
      <c r="C840" s="1464"/>
      <c r="D840" s="1464"/>
      <c r="E840" s="1466"/>
      <c r="F840" s="1468"/>
      <c r="G840" s="343"/>
      <c r="H840" s="340" t="s">
        <v>4</v>
      </c>
      <c r="I840" s="341"/>
      <c r="J840" s="341"/>
      <c r="K840" s="341"/>
      <c r="L840" s="341"/>
      <c r="M840" s="342"/>
      <c r="N840" s="341">
        <v>0</v>
      </c>
      <c r="O840" s="338">
        <f t="shared" si="391"/>
        <v>0</v>
      </c>
      <c r="P840" s="341"/>
      <c r="Q840" s="431"/>
      <c r="R840" s="28"/>
      <c r="S840" s="14"/>
      <c r="T840" s="423"/>
      <c r="U840" s="14"/>
      <c r="V840" s="14"/>
      <c r="W840" s="14"/>
      <c r="X840" s="14"/>
      <c r="Y840" s="14"/>
      <c r="Z840" s="14"/>
    </row>
    <row r="841" spans="3:26" ht="15" hidden="1" outlineLevel="2">
      <c r="C841" s="1464"/>
      <c r="D841" s="1464"/>
      <c r="E841" s="1466"/>
      <c r="F841" s="1468"/>
      <c r="G841" s="343"/>
      <c r="H841" s="340" t="s">
        <v>4</v>
      </c>
      <c r="I841" s="341"/>
      <c r="J841" s="341"/>
      <c r="K841" s="341"/>
      <c r="L841" s="341"/>
      <c r="M841" s="337"/>
      <c r="N841" s="341"/>
      <c r="O841" s="338">
        <f t="shared" si="391"/>
        <v>0</v>
      </c>
      <c r="P841" s="341"/>
      <c r="Q841" s="431"/>
      <c r="R841" s="28"/>
      <c r="S841" s="14"/>
      <c r="T841" s="423"/>
      <c r="U841" s="14"/>
      <c r="V841" s="14"/>
      <c r="W841" s="14"/>
      <c r="X841" s="14"/>
      <c r="Y841" s="14"/>
      <c r="Z841" s="14"/>
    </row>
    <row r="842" spans="3:26" ht="15" hidden="1" outlineLevel="2">
      <c r="C842" s="1464"/>
      <c r="D842" s="1464"/>
      <c r="E842" s="1466"/>
      <c r="F842" s="1468"/>
      <c r="G842" s="343"/>
      <c r="H842" s="340" t="s">
        <v>4</v>
      </c>
      <c r="I842" s="341"/>
      <c r="J842" s="341"/>
      <c r="K842" s="341"/>
      <c r="L842" s="341"/>
      <c r="M842" s="342"/>
      <c r="N842" s="341"/>
      <c r="O842" s="338">
        <f t="shared" si="391"/>
        <v>0</v>
      </c>
      <c r="P842" s="341"/>
      <c r="Q842" s="431"/>
      <c r="R842" s="28"/>
      <c r="S842" s="14"/>
      <c r="T842" s="423"/>
      <c r="U842" s="14"/>
      <c r="V842" s="14"/>
      <c r="W842" s="14"/>
      <c r="X842" s="14"/>
      <c r="Y842" s="14"/>
      <c r="Z842" s="14"/>
    </row>
    <row r="843" spans="3:26" ht="15" hidden="1" outlineLevel="2">
      <c r="C843" s="1464"/>
      <c r="D843" s="1464"/>
      <c r="E843" s="1466"/>
      <c r="F843" s="1468"/>
      <c r="G843" s="343"/>
      <c r="H843" s="340" t="s">
        <v>4</v>
      </c>
      <c r="I843" s="341"/>
      <c r="J843" s="341"/>
      <c r="K843" s="341"/>
      <c r="L843" s="341"/>
      <c r="M843" s="342"/>
      <c r="N843" s="341"/>
      <c r="O843" s="338">
        <f t="shared" si="391"/>
        <v>0</v>
      </c>
      <c r="P843" s="341"/>
      <c r="Q843" s="431"/>
      <c r="R843" s="28"/>
      <c r="S843" s="29"/>
      <c r="T843" s="424"/>
      <c r="U843" s="29"/>
      <c r="V843" s="29"/>
      <c r="W843" s="29"/>
      <c r="X843" s="29"/>
      <c r="Y843" s="29"/>
      <c r="Z843" s="29"/>
    </row>
    <row r="844" spans="3:26" ht="15" hidden="1" outlineLevel="2">
      <c r="C844" s="1464"/>
      <c r="D844" s="1464"/>
      <c r="E844" s="1466"/>
      <c r="F844" s="1468"/>
      <c r="G844" s="343"/>
      <c r="H844" s="340" t="s">
        <v>4</v>
      </c>
      <c r="I844" s="341"/>
      <c r="J844" s="341"/>
      <c r="K844" s="341"/>
      <c r="L844" s="341"/>
      <c r="M844" s="342"/>
      <c r="N844" s="341"/>
      <c r="O844" s="338">
        <f t="shared" si="391"/>
        <v>0</v>
      </c>
      <c r="P844" s="341"/>
      <c r="Q844" s="431"/>
      <c r="R844" s="28"/>
      <c r="S844" s="14"/>
      <c r="T844" s="423"/>
      <c r="U844" s="14"/>
      <c r="V844" s="14"/>
      <c r="W844" s="14"/>
      <c r="X844" s="14"/>
      <c r="Y844" s="14"/>
      <c r="Z844" s="14"/>
    </row>
    <row r="845" spans="3:26" ht="15" hidden="1" outlineLevel="2">
      <c r="C845" s="1464"/>
      <c r="D845" s="1464"/>
      <c r="E845" s="1466"/>
      <c r="F845" s="1468"/>
      <c r="G845" s="343"/>
      <c r="H845" s="340" t="s">
        <v>4</v>
      </c>
      <c r="I845" s="341"/>
      <c r="J845" s="341"/>
      <c r="K845" s="341"/>
      <c r="L845" s="341"/>
      <c r="M845" s="342"/>
      <c r="N845" s="341"/>
      <c r="O845" s="338">
        <f t="shared" si="391"/>
        <v>0</v>
      </c>
      <c r="P845" s="341"/>
      <c r="Q845" s="431"/>
      <c r="R845" s="28"/>
      <c r="S845" s="14"/>
      <c r="T845" s="423"/>
      <c r="U845" s="14"/>
      <c r="V845" s="14"/>
      <c r="W845" s="14"/>
      <c r="X845" s="14"/>
      <c r="Y845" s="14"/>
      <c r="Z845" s="14"/>
    </row>
    <row r="846" spans="3:26" ht="15" hidden="1" outlineLevel="2">
      <c r="C846" s="1464"/>
      <c r="D846" s="1464"/>
      <c r="E846" s="1466"/>
      <c r="F846" s="1468"/>
      <c r="G846" s="343"/>
      <c r="H846" s="340" t="s">
        <v>4</v>
      </c>
      <c r="I846" s="341"/>
      <c r="J846" s="341"/>
      <c r="K846" s="341"/>
      <c r="L846" s="341"/>
      <c r="M846" s="342"/>
      <c r="N846" s="341"/>
      <c r="O846" s="338">
        <f t="shared" si="391"/>
        <v>0</v>
      </c>
      <c r="P846" s="341"/>
      <c r="Q846" s="431"/>
      <c r="R846" s="28"/>
      <c r="S846" s="14"/>
      <c r="T846" s="423"/>
      <c r="U846" s="14"/>
      <c r="V846" s="14"/>
      <c r="W846" s="14"/>
      <c r="X846" s="14"/>
      <c r="Y846" s="14"/>
      <c r="Z846" s="14"/>
    </row>
    <row r="847" spans="3:26" ht="15" hidden="1" outlineLevel="2">
      <c r="C847" s="1464"/>
      <c r="D847" s="1464"/>
      <c r="E847" s="1466"/>
      <c r="F847" s="1468"/>
      <c r="G847" s="344"/>
      <c r="H847" s="340" t="s">
        <v>4</v>
      </c>
      <c r="I847" s="345"/>
      <c r="J847" s="345"/>
      <c r="K847" s="345"/>
      <c r="L847" s="345"/>
      <c r="M847" s="346"/>
      <c r="N847" s="345"/>
      <c r="O847" s="338">
        <f t="shared" si="391"/>
        <v>0</v>
      </c>
      <c r="P847" s="345"/>
      <c r="Q847" s="432"/>
      <c r="R847" s="28"/>
      <c r="S847" s="30"/>
      <c r="T847" s="424"/>
      <c r="U847" s="30"/>
      <c r="V847" s="30"/>
      <c r="W847" s="30"/>
      <c r="X847" s="30"/>
      <c r="Y847" s="30"/>
      <c r="Z847" s="30"/>
    </row>
    <row r="848" spans="3:26" ht="15" hidden="1" outlineLevel="2">
      <c r="C848" s="1464"/>
      <c r="D848" s="1464"/>
      <c r="E848" s="1466"/>
      <c r="F848" s="1468"/>
      <c r="G848" s="343"/>
      <c r="H848" s="340" t="s">
        <v>4</v>
      </c>
      <c r="I848" s="341"/>
      <c r="J848" s="341"/>
      <c r="K848" s="341"/>
      <c r="L848" s="341"/>
      <c r="M848" s="342"/>
      <c r="N848" s="341"/>
      <c r="O848" s="338">
        <f t="shared" si="391"/>
        <v>0</v>
      </c>
      <c r="P848" s="341"/>
      <c r="Q848" s="431"/>
      <c r="R848" s="28"/>
      <c r="S848" s="14"/>
      <c r="T848" s="423"/>
      <c r="U848" s="14"/>
      <c r="V848" s="14"/>
      <c r="W848" s="14"/>
      <c r="X848" s="14"/>
      <c r="Y848" s="14"/>
      <c r="Z848" s="14"/>
    </row>
    <row r="849" spans="3:26" ht="15" hidden="1" outlineLevel="2">
      <c r="C849" s="1464"/>
      <c r="D849" s="1464"/>
      <c r="E849" s="1466"/>
      <c r="F849" s="1468"/>
      <c r="G849" s="1470" t="s">
        <v>45</v>
      </c>
      <c r="H849" s="1471"/>
      <c r="I849" s="347">
        <f>SUM(I839:I848)</f>
        <v>0</v>
      </c>
      <c r="J849" s="347">
        <f t="shared" ref="J849:K849" si="397">SUM(J839:J848)</f>
        <v>0</v>
      </c>
      <c r="K849" s="347">
        <f t="shared" si="397"/>
        <v>0</v>
      </c>
      <c r="L849" s="347">
        <f t="shared" ref="L849" si="398">SUM(L839:L848)</f>
        <v>0</v>
      </c>
      <c r="M849" s="348"/>
      <c r="N849" s="347">
        <f>N839</f>
        <v>0</v>
      </c>
      <c r="O849" s="349">
        <f t="shared" si="391"/>
        <v>0</v>
      </c>
      <c r="P849" s="347">
        <f t="shared" ref="P849:Q849" si="399">SUM(P839:P848)</f>
        <v>0</v>
      </c>
      <c r="Q849" s="433">
        <f t="shared" si="399"/>
        <v>0</v>
      </c>
      <c r="R849" s="28"/>
      <c r="S849" s="14"/>
      <c r="T849" s="423"/>
      <c r="U849" s="14"/>
      <c r="V849" s="14"/>
      <c r="W849" s="14"/>
      <c r="X849" s="14"/>
      <c r="Y849" s="14"/>
      <c r="Z849" s="14"/>
    </row>
    <row r="850" spans="3:26" ht="15" hidden="1" outlineLevel="2">
      <c r="C850" s="1464"/>
      <c r="D850" s="1464"/>
      <c r="E850" s="1466"/>
      <c r="F850" s="1468"/>
      <c r="G850" s="350"/>
      <c r="H850" s="335" t="s">
        <v>28</v>
      </c>
      <c r="I850" s="336"/>
      <c r="J850" s="336"/>
      <c r="K850" s="336"/>
      <c r="L850" s="336"/>
      <c r="M850" s="337"/>
      <c r="N850" s="336"/>
      <c r="O850" s="338">
        <f t="shared" si="391"/>
        <v>0</v>
      </c>
      <c r="P850" s="336"/>
      <c r="Q850" s="430"/>
      <c r="R850" s="28"/>
      <c r="S850" s="14"/>
      <c r="T850" s="423"/>
      <c r="U850" s="14"/>
      <c r="V850" s="14"/>
      <c r="W850" s="14"/>
      <c r="X850" s="14"/>
      <c r="Y850" s="14"/>
      <c r="Z850" s="14"/>
    </row>
    <row r="851" spans="3:26" ht="15" hidden="1" outlineLevel="2">
      <c r="C851" s="1464"/>
      <c r="D851" s="1464"/>
      <c r="E851" s="1466"/>
      <c r="F851" s="1468"/>
      <c r="G851" s="343"/>
      <c r="H851" s="335" t="s">
        <v>28</v>
      </c>
      <c r="I851" s="341"/>
      <c r="J851" s="341"/>
      <c r="K851" s="341"/>
      <c r="L851" s="341"/>
      <c r="M851" s="342"/>
      <c r="N851" s="341"/>
      <c r="O851" s="338">
        <f t="shared" si="391"/>
        <v>0</v>
      </c>
      <c r="P851" s="341"/>
      <c r="Q851" s="431"/>
      <c r="R851" s="28"/>
      <c r="S851" s="30"/>
      <c r="T851" s="424"/>
      <c r="U851" s="30"/>
      <c r="V851" s="30"/>
      <c r="W851" s="30"/>
      <c r="X851" s="30"/>
      <c r="Y851" s="30"/>
      <c r="Z851" s="30"/>
    </row>
    <row r="852" spans="3:26" ht="15" hidden="1" outlineLevel="2">
      <c r="C852" s="1464"/>
      <c r="D852" s="1464"/>
      <c r="E852" s="1466"/>
      <c r="F852" s="1468"/>
      <c r="G852" s="343"/>
      <c r="H852" s="335" t="s">
        <v>28</v>
      </c>
      <c r="I852" s="341"/>
      <c r="J852" s="341"/>
      <c r="K852" s="341"/>
      <c r="L852" s="341"/>
      <c r="M852" s="337"/>
      <c r="N852" s="341"/>
      <c r="O852" s="338">
        <f t="shared" si="391"/>
        <v>0</v>
      </c>
      <c r="P852" s="341"/>
      <c r="Q852" s="431"/>
      <c r="R852" s="28"/>
      <c r="S852" s="14"/>
      <c r="T852" s="423"/>
      <c r="U852" s="14"/>
      <c r="V852" s="14"/>
      <c r="W852" s="14"/>
      <c r="X852" s="14"/>
      <c r="Y852" s="14"/>
      <c r="Z852" s="14"/>
    </row>
    <row r="853" spans="3:26" ht="15" hidden="1" outlineLevel="2">
      <c r="C853" s="1464"/>
      <c r="D853" s="1464"/>
      <c r="E853" s="1466"/>
      <c r="F853" s="1468"/>
      <c r="G853" s="343"/>
      <c r="H853" s="335" t="s">
        <v>28</v>
      </c>
      <c r="I853" s="341"/>
      <c r="J853" s="341"/>
      <c r="K853" s="341"/>
      <c r="L853" s="341"/>
      <c r="M853" s="342"/>
      <c r="N853" s="341"/>
      <c r="O853" s="338">
        <f t="shared" si="391"/>
        <v>0</v>
      </c>
      <c r="P853" s="341"/>
      <c r="Q853" s="431"/>
      <c r="R853" s="28"/>
      <c r="S853" s="14"/>
      <c r="T853" s="423"/>
      <c r="U853" s="14"/>
      <c r="V853" s="14"/>
      <c r="W853" s="14"/>
      <c r="X853" s="14"/>
      <c r="Y853" s="14"/>
      <c r="Z853" s="14"/>
    </row>
    <row r="854" spans="3:26" ht="15" hidden="1" outlineLevel="2">
      <c r="C854" s="1464"/>
      <c r="D854" s="1464"/>
      <c r="E854" s="1466"/>
      <c r="F854" s="1468"/>
      <c r="G854" s="343"/>
      <c r="H854" s="335" t="s">
        <v>28</v>
      </c>
      <c r="I854" s="341"/>
      <c r="J854" s="341"/>
      <c r="K854" s="341"/>
      <c r="L854" s="341"/>
      <c r="M854" s="342"/>
      <c r="N854" s="341"/>
      <c r="O854" s="338">
        <f t="shared" si="391"/>
        <v>0</v>
      </c>
      <c r="P854" s="341"/>
      <c r="Q854" s="431"/>
      <c r="R854" s="28"/>
      <c r="S854" s="30"/>
      <c r="T854" s="424"/>
      <c r="U854" s="30"/>
      <c r="V854" s="30"/>
      <c r="W854" s="30"/>
      <c r="X854" s="30"/>
      <c r="Y854" s="30"/>
      <c r="Z854" s="30"/>
    </row>
    <row r="855" spans="3:26" ht="15" hidden="1" outlineLevel="2">
      <c r="C855" s="1464"/>
      <c r="D855" s="1464"/>
      <c r="E855" s="1466"/>
      <c r="F855" s="1468"/>
      <c r="G855" s="343"/>
      <c r="H855" s="335" t="s">
        <v>28</v>
      </c>
      <c r="I855" s="341"/>
      <c r="J855" s="341"/>
      <c r="K855" s="341"/>
      <c r="L855" s="341"/>
      <c r="M855" s="342"/>
      <c r="N855" s="341"/>
      <c r="O855" s="338">
        <f t="shared" si="391"/>
        <v>0</v>
      </c>
      <c r="P855" s="341"/>
      <c r="Q855" s="431"/>
      <c r="T855" s="418"/>
    </row>
    <row r="856" spans="3:26" ht="15" hidden="1" outlineLevel="2">
      <c r="C856" s="1464"/>
      <c r="D856" s="1464"/>
      <c r="E856" s="1466"/>
      <c r="F856" s="1468"/>
      <c r="G856" s="343"/>
      <c r="H856" s="335" t="s">
        <v>28</v>
      </c>
      <c r="I856" s="341"/>
      <c r="J856" s="341"/>
      <c r="K856" s="341"/>
      <c r="L856" s="341"/>
      <c r="M856" s="342"/>
      <c r="N856" s="341"/>
      <c r="O856" s="338">
        <f t="shared" si="391"/>
        <v>0</v>
      </c>
      <c r="P856" s="341"/>
      <c r="Q856" s="431"/>
      <c r="T856" s="418"/>
    </row>
    <row r="857" spans="3:26" ht="15" hidden="1" outlineLevel="2">
      <c r="C857" s="1464"/>
      <c r="D857" s="1464"/>
      <c r="E857" s="1466"/>
      <c r="F857" s="1468"/>
      <c r="G857" s="343"/>
      <c r="H857" s="335" t="s">
        <v>28</v>
      </c>
      <c r="I857" s="341"/>
      <c r="J857" s="341"/>
      <c r="K857" s="341"/>
      <c r="L857" s="341"/>
      <c r="M857" s="342"/>
      <c r="N857" s="341"/>
      <c r="O857" s="338">
        <f t="shared" si="391"/>
        <v>0</v>
      </c>
      <c r="P857" s="341"/>
      <c r="Q857" s="431"/>
      <c r="T857" s="418"/>
    </row>
    <row r="858" spans="3:26" ht="15" hidden="1" outlineLevel="2">
      <c r="C858" s="1464"/>
      <c r="D858" s="1464"/>
      <c r="E858" s="1466"/>
      <c r="F858" s="1468"/>
      <c r="G858" s="344"/>
      <c r="H858" s="335" t="s">
        <v>28</v>
      </c>
      <c r="I858" s="345"/>
      <c r="J858" s="345"/>
      <c r="K858" s="345"/>
      <c r="L858" s="345"/>
      <c r="M858" s="346"/>
      <c r="N858" s="345"/>
      <c r="O858" s="338">
        <f t="shared" si="391"/>
        <v>0</v>
      </c>
      <c r="P858" s="345"/>
      <c r="Q858" s="432"/>
      <c r="T858" s="418"/>
    </row>
    <row r="859" spans="3:26" ht="15" hidden="1" outlineLevel="2">
      <c r="C859" s="1464"/>
      <c r="D859" s="1464"/>
      <c r="E859" s="1466"/>
      <c r="F859" s="1468"/>
      <c r="G859" s="343"/>
      <c r="H859" s="335" t="s">
        <v>28</v>
      </c>
      <c r="I859" s="341"/>
      <c r="J859" s="341"/>
      <c r="K859" s="341"/>
      <c r="L859" s="341"/>
      <c r="M859" s="342"/>
      <c r="N859" s="341"/>
      <c r="O859" s="338">
        <f t="shared" si="391"/>
        <v>0</v>
      </c>
      <c r="P859" s="341"/>
      <c r="Q859" s="431"/>
      <c r="T859" s="418"/>
    </row>
    <row r="860" spans="3:26" ht="15" hidden="1" outlineLevel="2">
      <c r="C860" s="1464"/>
      <c r="D860" s="1464"/>
      <c r="E860" s="1466"/>
      <c r="F860" s="1468"/>
      <c r="G860" s="1470" t="s">
        <v>51</v>
      </c>
      <c r="H860" s="1471"/>
      <c r="I860" s="347">
        <f>SUM(I850:I859)</f>
        <v>0</v>
      </c>
      <c r="J860" s="347">
        <f t="shared" ref="J860:K860" si="400">SUM(J850:J859)</f>
        <v>0</v>
      </c>
      <c r="K860" s="347">
        <f t="shared" si="400"/>
        <v>0</v>
      </c>
      <c r="L860" s="347">
        <f t="shared" ref="L860" si="401">SUM(L850:L859)</f>
        <v>0</v>
      </c>
      <c r="M860" s="348"/>
      <c r="N860" s="347">
        <f>N850</f>
        <v>0</v>
      </c>
      <c r="O860" s="349">
        <f t="shared" si="391"/>
        <v>0</v>
      </c>
      <c r="P860" s="347">
        <f t="shared" ref="P860:Q860" si="402">SUM(P850:P859)</f>
        <v>0</v>
      </c>
      <c r="Q860" s="433">
        <f t="shared" si="402"/>
        <v>0</v>
      </c>
      <c r="T860" s="418"/>
    </row>
    <row r="861" spans="3:26" ht="15" hidden="1" outlineLevel="2">
      <c r="C861" s="1464"/>
      <c r="D861" s="1464"/>
      <c r="E861" s="1466"/>
      <c r="F861" s="1468"/>
      <c r="G861" s="350"/>
      <c r="H861" s="335" t="s">
        <v>22</v>
      </c>
      <c r="I861" s="336"/>
      <c r="J861" s="336"/>
      <c r="K861" s="336"/>
      <c r="L861" s="336"/>
      <c r="M861" s="337"/>
      <c r="N861" s="336"/>
      <c r="O861" s="338">
        <f t="shared" si="391"/>
        <v>0</v>
      </c>
      <c r="P861" s="336"/>
      <c r="Q861" s="430"/>
      <c r="T861" s="418"/>
    </row>
    <row r="862" spans="3:26" ht="15" hidden="1" outlineLevel="2">
      <c r="C862" s="1464"/>
      <c r="D862" s="1464"/>
      <c r="E862" s="1466"/>
      <c r="F862" s="1468"/>
      <c r="G862" s="343"/>
      <c r="H862" s="335" t="s">
        <v>22</v>
      </c>
      <c r="I862" s="341"/>
      <c r="J862" s="341"/>
      <c r="K862" s="341"/>
      <c r="L862" s="341"/>
      <c r="M862" s="342"/>
      <c r="N862" s="341"/>
      <c r="O862" s="338">
        <f t="shared" si="391"/>
        <v>0</v>
      </c>
      <c r="P862" s="341"/>
      <c r="Q862" s="431"/>
      <c r="T862" s="418"/>
    </row>
    <row r="863" spans="3:26" ht="15" hidden="1" outlineLevel="2">
      <c r="C863" s="1464"/>
      <c r="D863" s="1464"/>
      <c r="E863" s="1466"/>
      <c r="F863" s="1468"/>
      <c r="G863" s="343"/>
      <c r="H863" s="335" t="s">
        <v>22</v>
      </c>
      <c r="I863" s="341"/>
      <c r="J863" s="341"/>
      <c r="K863" s="341"/>
      <c r="L863" s="341"/>
      <c r="M863" s="337"/>
      <c r="N863" s="341"/>
      <c r="O863" s="338">
        <f t="shared" si="391"/>
        <v>0</v>
      </c>
      <c r="P863" s="341"/>
      <c r="Q863" s="431"/>
      <c r="T863" s="418"/>
    </row>
    <row r="864" spans="3:26" ht="15" hidden="1" outlineLevel="2">
      <c r="C864" s="1464"/>
      <c r="D864" s="1464"/>
      <c r="E864" s="1466"/>
      <c r="F864" s="1468"/>
      <c r="G864" s="343"/>
      <c r="H864" s="335" t="s">
        <v>22</v>
      </c>
      <c r="I864" s="341"/>
      <c r="J864" s="341"/>
      <c r="K864" s="341"/>
      <c r="L864" s="341"/>
      <c r="M864" s="342"/>
      <c r="N864" s="341"/>
      <c r="O864" s="338">
        <f t="shared" si="391"/>
        <v>0</v>
      </c>
      <c r="P864" s="341"/>
      <c r="Q864" s="431"/>
      <c r="T864" s="418"/>
    </row>
    <row r="865" spans="3:20" ht="15" hidden="1" outlineLevel="2">
      <c r="C865" s="1464"/>
      <c r="D865" s="1464"/>
      <c r="E865" s="1466"/>
      <c r="F865" s="1468"/>
      <c r="G865" s="343"/>
      <c r="H865" s="335" t="s">
        <v>22</v>
      </c>
      <c r="I865" s="341"/>
      <c r="J865" s="341"/>
      <c r="K865" s="341"/>
      <c r="L865" s="341"/>
      <c r="M865" s="342"/>
      <c r="N865" s="341"/>
      <c r="O865" s="338">
        <f t="shared" si="391"/>
        <v>0</v>
      </c>
      <c r="P865" s="341"/>
      <c r="Q865" s="431"/>
      <c r="T865" s="418"/>
    </row>
    <row r="866" spans="3:20" ht="15" hidden="1" outlineLevel="2">
      <c r="C866" s="1464"/>
      <c r="D866" s="1464"/>
      <c r="E866" s="1466"/>
      <c r="F866" s="1468"/>
      <c r="G866" s="343"/>
      <c r="H866" s="335" t="s">
        <v>22</v>
      </c>
      <c r="I866" s="341"/>
      <c r="J866" s="341"/>
      <c r="K866" s="341"/>
      <c r="L866" s="341"/>
      <c r="M866" s="342"/>
      <c r="N866" s="341"/>
      <c r="O866" s="338">
        <f t="shared" si="391"/>
        <v>0</v>
      </c>
      <c r="P866" s="341"/>
      <c r="Q866" s="431"/>
      <c r="T866" s="418"/>
    </row>
    <row r="867" spans="3:20" ht="15" hidden="1" outlineLevel="2">
      <c r="C867" s="1464"/>
      <c r="D867" s="1464"/>
      <c r="E867" s="1466"/>
      <c r="F867" s="1468"/>
      <c r="G867" s="343"/>
      <c r="H867" s="335" t="s">
        <v>22</v>
      </c>
      <c r="I867" s="341"/>
      <c r="J867" s="341"/>
      <c r="K867" s="341"/>
      <c r="L867" s="341"/>
      <c r="M867" s="342"/>
      <c r="N867" s="341"/>
      <c r="O867" s="338">
        <f t="shared" si="391"/>
        <v>0</v>
      </c>
      <c r="P867" s="341"/>
      <c r="Q867" s="431"/>
      <c r="T867" s="418"/>
    </row>
    <row r="868" spans="3:20" ht="15" hidden="1" outlineLevel="2">
      <c r="C868" s="1464"/>
      <c r="D868" s="1464"/>
      <c r="E868" s="1466"/>
      <c r="F868" s="1468"/>
      <c r="G868" s="343"/>
      <c r="H868" s="335" t="s">
        <v>22</v>
      </c>
      <c r="I868" s="341"/>
      <c r="J868" s="341"/>
      <c r="K868" s="341"/>
      <c r="L868" s="341"/>
      <c r="M868" s="342"/>
      <c r="N868" s="341"/>
      <c r="O868" s="338">
        <f t="shared" si="391"/>
        <v>0</v>
      </c>
      <c r="P868" s="341"/>
      <c r="Q868" s="431"/>
      <c r="T868" s="418"/>
    </row>
    <row r="869" spans="3:20" ht="15" hidden="1" outlineLevel="2">
      <c r="C869" s="1464"/>
      <c r="D869" s="1464"/>
      <c r="E869" s="1466"/>
      <c r="F869" s="1468"/>
      <c r="G869" s="344"/>
      <c r="H869" s="335" t="s">
        <v>22</v>
      </c>
      <c r="I869" s="345"/>
      <c r="J869" s="345"/>
      <c r="K869" s="345"/>
      <c r="L869" s="345"/>
      <c r="M869" s="346"/>
      <c r="N869" s="345"/>
      <c r="O869" s="338">
        <f t="shared" si="391"/>
        <v>0</v>
      </c>
      <c r="P869" s="345"/>
      <c r="Q869" s="432"/>
      <c r="T869" s="418"/>
    </row>
    <row r="870" spans="3:20" ht="15" hidden="1" outlineLevel="2">
      <c r="C870" s="1464"/>
      <c r="D870" s="1464"/>
      <c r="E870" s="1466"/>
      <c r="F870" s="1468"/>
      <c r="G870" s="343"/>
      <c r="H870" s="335" t="s">
        <v>22</v>
      </c>
      <c r="I870" s="341"/>
      <c r="J870" s="341"/>
      <c r="K870" s="341"/>
      <c r="L870" s="341"/>
      <c r="M870" s="342"/>
      <c r="N870" s="341"/>
      <c r="O870" s="338">
        <f t="shared" si="391"/>
        <v>0</v>
      </c>
      <c r="P870" s="341"/>
      <c r="Q870" s="431"/>
      <c r="T870" s="418"/>
    </row>
    <row r="871" spans="3:20" ht="15" hidden="1" outlineLevel="2">
      <c r="C871" s="1464"/>
      <c r="D871" s="1464"/>
      <c r="E871" s="1466"/>
      <c r="F871" s="1468"/>
      <c r="G871" s="1470" t="s">
        <v>44</v>
      </c>
      <c r="H871" s="1471"/>
      <c r="I871" s="347">
        <f>SUM(I861:I870)</f>
        <v>0</v>
      </c>
      <c r="J871" s="347">
        <f t="shared" ref="J871:K871" si="403">SUM(J861:J870)</f>
        <v>0</v>
      </c>
      <c r="K871" s="347">
        <f t="shared" si="403"/>
        <v>0</v>
      </c>
      <c r="L871" s="347">
        <f t="shared" ref="L871" si="404">SUM(L861:L870)</f>
        <v>0</v>
      </c>
      <c r="M871" s="348"/>
      <c r="N871" s="347">
        <f>N861</f>
        <v>0</v>
      </c>
      <c r="O871" s="349">
        <f t="shared" si="391"/>
        <v>0</v>
      </c>
      <c r="P871" s="347">
        <f t="shared" ref="P871:Q871" si="405">SUM(P861:P870)</f>
        <v>0</v>
      </c>
      <c r="Q871" s="433">
        <f t="shared" si="405"/>
        <v>0</v>
      </c>
      <c r="T871" s="418"/>
    </row>
    <row r="872" spans="3:20" ht="15" outlineLevel="1" collapsed="1">
      <c r="C872" s="1464"/>
      <c r="D872" s="1464"/>
      <c r="E872" s="1466"/>
      <c r="F872" s="1469"/>
      <c r="G872" s="1470" t="s">
        <v>177</v>
      </c>
      <c r="H872" s="1471"/>
      <c r="I872" s="347">
        <f>(I849/usdrate)+(I860*jodrate)+I871</f>
        <v>0</v>
      </c>
      <c r="J872" s="347">
        <f>(J849/usdrate)+(J860*jodrate)+J871</f>
        <v>0</v>
      </c>
      <c r="K872" s="347">
        <f>(K849/usdrate)+(K860*jodrate)+K871</f>
        <v>0</v>
      </c>
      <c r="L872" s="347">
        <f>(L849/usdrate)+(L860*jodrate)+L871</f>
        <v>0</v>
      </c>
      <c r="M872" s="348"/>
      <c r="N872" s="347">
        <f>(N849/usdrate)+(N860*jodrate)+N871</f>
        <v>0</v>
      </c>
      <c r="O872" s="349">
        <f t="shared" si="391"/>
        <v>0</v>
      </c>
      <c r="P872" s="347">
        <f>(P849/usdrate)+(P860*jodrate)+P871</f>
        <v>0</v>
      </c>
      <c r="Q872" s="433">
        <f>(Q849/usdrate)+(Q860*jodrate)+Q871</f>
        <v>0</v>
      </c>
      <c r="T872" s="418"/>
    </row>
    <row r="873" spans="3:20" ht="15" hidden="1" outlineLevel="2">
      <c r="C873" s="1464"/>
      <c r="D873" s="1464"/>
      <c r="E873" s="1466"/>
      <c r="F873" s="1472" t="s">
        <v>172</v>
      </c>
      <c r="G873" s="350"/>
      <c r="H873" s="335" t="s">
        <v>28</v>
      </c>
      <c r="I873" s="336"/>
      <c r="J873" s="336"/>
      <c r="K873" s="336"/>
      <c r="L873" s="336"/>
      <c r="M873" s="337"/>
      <c r="N873" s="336"/>
      <c r="O873" s="338">
        <f t="shared" ref="O873:O895" si="406">IF(N873=0,0,N873/I873)</f>
        <v>0</v>
      </c>
      <c r="P873" s="336"/>
      <c r="Q873" s="430"/>
      <c r="T873" s="418"/>
    </row>
    <row r="874" spans="3:20" ht="15" hidden="1" outlineLevel="2">
      <c r="C874" s="1464"/>
      <c r="D874" s="1464"/>
      <c r="E874" s="1466"/>
      <c r="F874" s="1468"/>
      <c r="G874" s="343"/>
      <c r="H874" s="335" t="s">
        <v>28</v>
      </c>
      <c r="I874" s="341"/>
      <c r="J874" s="341"/>
      <c r="K874" s="341"/>
      <c r="L874" s="341"/>
      <c r="M874" s="342"/>
      <c r="N874" s="341"/>
      <c r="O874" s="338">
        <f t="shared" si="406"/>
        <v>0</v>
      </c>
      <c r="P874" s="341"/>
      <c r="Q874" s="431"/>
      <c r="T874" s="418"/>
    </row>
    <row r="875" spans="3:20" ht="15" hidden="1" outlineLevel="2">
      <c r="C875" s="1464"/>
      <c r="D875" s="1464"/>
      <c r="E875" s="1466"/>
      <c r="F875" s="1468"/>
      <c r="G875" s="343"/>
      <c r="H875" s="335" t="s">
        <v>28</v>
      </c>
      <c r="I875" s="341"/>
      <c r="J875" s="341"/>
      <c r="K875" s="341"/>
      <c r="L875" s="341"/>
      <c r="M875" s="337"/>
      <c r="N875" s="341"/>
      <c r="O875" s="338">
        <f t="shared" si="406"/>
        <v>0</v>
      </c>
      <c r="P875" s="341"/>
      <c r="Q875" s="431"/>
      <c r="T875" s="418"/>
    </row>
    <row r="876" spans="3:20" ht="15" hidden="1" outlineLevel="2">
      <c r="C876" s="1464"/>
      <c r="D876" s="1464"/>
      <c r="E876" s="1466"/>
      <c r="F876" s="1468"/>
      <c r="G876" s="343"/>
      <c r="H876" s="335" t="s">
        <v>28</v>
      </c>
      <c r="I876" s="341"/>
      <c r="J876" s="341"/>
      <c r="K876" s="341"/>
      <c r="L876" s="341"/>
      <c r="M876" s="342"/>
      <c r="N876" s="341"/>
      <c r="O876" s="338">
        <f t="shared" si="406"/>
        <v>0</v>
      </c>
      <c r="P876" s="341"/>
      <c r="Q876" s="431"/>
      <c r="T876" s="418"/>
    </row>
    <row r="877" spans="3:20" ht="15" hidden="1" outlineLevel="2">
      <c r="C877" s="1464"/>
      <c r="D877" s="1464"/>
      <c r="E877" s="1466"/>
      <c r="F877" s="1468"/>
      <c r="G877" s="343"/>
      <c r="H877" s="335" t="s">
        <v>28</v>
      </c>
      <c r="I877" s="341"/>
      <c r="J877" s="341"/>
      <c r="K877" s="341"/>
      <c r="L877" s="341"/>
      <c r="M877" s="342"/>
      <c r="N877" s="341"/>
      <c r="O877" s="338">
        <f t="shared" si="406"/>
        <v>0</v>
      </c>
      <c r="P877" s="341"/>
      <c r="Q877" s="431"/>
      <c r="T877" s="418"/>
    </row>
    <row r="878" spans="3:20" ht="15" hidden="1" outlineLevel="2">
      <c r="C878" s="1464"/>
      <c r="D878" s="1464"/>
      <c r="E878" s="1466"/>
      <c r="F878" s="1468"/>
      <c r="G878" s="343"/>
      <c r="H878" s="335" t="s">
        <v>28</v>
      </c>
      <c r="I878" s="341"/>
      <c r="J878" s="341"/>
      <c r="K878" s="341"/>
      <c r="L878" s="341"/>
      <c r="M878" s="342"/>
      <c r="N878" s="341"/>
      <c r="O878" s="338">
        <f t="shared" si="406"/>
        <v>0</v>
      </c>
      <c r="P878" s="341"/>
      <c r="Q878" s="431"/>
      <c r="T878" s="418"/>
    </row>
    <row r="879" spans="3:20" ht="15" hidden="1" outlineLevel="2">
      <c r="C879" s="1464"/>
      <c r="D879" s="1464"/>
      <c r="E879" s="1466"/>
      <c r="F879" s="1468"/>
      <c r="G879" s="343"/>
      <c r="H879" s="335" t="s">
        <v>28</v>
      </c>
      <c r="I879" s="341"/>
      <c r="J879" s="341"/>
      <c r="K879" s="341"/>
      <c r="L879" s="341"/>
      <c r="M879" s="342"/>
      <c r="N879" s="341"/>
      <c r="O879" s="338">
        <f t="shared" si="406"/>
        <v>0</v>
      </c>
      <c r="P879" s="341"/>
      <c r="Q879" s="431"/>
      <c r="T879" s="418"/>
    </row>
    <row r="880" spans="3:20" ht="15" hidden="1" outlineLevel="2">
      <c r="C880" s="1464"/>
      <c r="D880" s="1464"/>
      <c r="E880" s="1466"/>
      <c r="F880" s="1468"/>
      <c r="G880" s="343"/>
      <c r="H880" s="335" t="s">
        <v>28</v>
      </c>
      <c r="I880" s="341"/>
      <c r="J880" s="341"/>
      <c r="K880" s="341"/>
      <c r="L880" s="341"/>
      <c r="M880" s="342"/>
      <c r="N880" s="341"/>
      <c r="O880" s="338">
        <f t="shared" si="406"/>
        <v>0</v>
      </c>
      <c r="P880" s="341"/>
      <c r="Q880" s="431"/>
      <c r="T880" s="418"/>
    </row>
    <row r="881" spans="3:20" ht="15" hidden="1" outlineLevel="2">
      <c r="C881" s="1464"/>
      <c r="D881" s="1464"/>
      <c r="E881" s="1466"/>
      <c r="F881" s="1468"/>
      <c r="G881" s="344"/>
      <c r="H881" s="335" t="s">
        <v>28</v>
      </c>
      <c r="I881" s="345"/>
      <c r="J881" s="345"/>
      <c r="K881" s="345"/>
      <c r="L881" s="345"/>
      <c r="M881" s="346"/>
      <c r="N881" s="345"/>
      <c r="O881" s="338">
        <f t="shared" si="406"/>
        <v>0</v>
      </c>
      <c r="P881" s="345"/>
      <c r="Q881" s="432"/>
      <c r="T881" s="418"/>
    </row>
    <row r="882" spans="3:20" ht="15" hidden="1" outlineLevel="2">
      <c r="C882" s="1464"/>
      <c r="D882" s="1464"/>
      <c r="E882" s="1466"/>
      <c r="F882" s="1468"/>
      <c r="G882" s="343"/>
      <c r="H882" s="335" t="s">
        <v>28</v>
      </c>
      <c r="I882" s="341"/>
      <c r="J882" s="341"/>
      <c r="K882" s="341"/>
      <c r="L882" s="341"/>
      <c r="M882" s="342"/>
      <c r="N882" s="341"/>
      <c r="O882" s="338">
        <f t="shared" si="406"/>
        <v>0</v>
      </c>
      <c r="P882" s="341"/>
      <c r="Q882" s="431"/>
      <c r="T882" s="418"/>
    </row>
    <row r="883" spans="3:20" ht="15" hidden="1" outlineLevel="2">
      <c r="C883" s="1464"/>
      <c r="D883" s="1464"/>
      <c r="E883" s="1466"/>
      <c r="F883" s="1468"/>
      <c r="G883" s="1470" t="s">
        <v>51</v>
      </c>
      <c r="H883" s="1471"/>
      <c r="I883" s="347">
        <f>SUM(I873:I882)</f>
        <v>0</v>
      </c>
      <c r="J883" s="347">
        <f t="shared" ref="J883:K883" si="407">SUM(J873:J882)</f>
        <v>0</v>
      </c>
      <c r="K883" s="347">
        <f t="shared" si="407"/>
        <v>0</v>
      </c>
      <c r="L883" s="347">
        <f t="shared" ref="L883" si="408">SUM(L873:L882)</f>
        <v>0</v>
      </c>
      <c r="M883" s="348"/>
      <c r="N883" s="347">
        <f>N873</f>
        <v>0</v>
      </c>
      <c r="O883" s="349">
        <f t="shared" si="406"/>
        <v>0</v>
      </c>
      <c r="P883" s="347">
        <f t="shared" ref="P883:Q883" si="409">SUM(P873:P882)</f>
        <v>0</v>
      </c>
      <c r="Q883" s="433">
        <f t="shared" si="409"/>
        <v>0</v>
      </c>
      <c r="T883" s="418"/>
    </row>
    <row r="884" spans="3:20" ht="15" hidden="1" outlineLevel="2">
      <c r="C884" s="1464"/>
      <c r="D884" s="1464"/>
      <c r="E884" s="1466"/>
      <c r="F884" s="1468"/>
      <c r="G884" s="350"/>
      <c r="H884" s="335" t="s">
        <v>22</v>
      </c>
      <c r="I884" s="336"/>
      <c r="J884" s="336"/>
      <c r="K884" s="336"/>
      <c r="L884" s="336"/>
      <c r="M884" s="337"/>
      <c r="N884" s="336"/>
      <c r="O884" s="338">
        <f t="shared" si="406"/>
        <v>0</v>
      </c>
      <c r="P884" s="336"/>
      <c r="Q884" s="430"/>
      <c r="T884" s="418"/>
    </row>
    <row r="885" spans="3:20" ht="15" hidden="1" outlineLevel="2">
      <c r="C885" s="1464"/>
      <c r="D885" s="1464"/>
      <c r="E885" s="1466"/>
      <c r="F885" s="1468"/>
      <c r="G885" s="343"/>
      <c r="H885" s="335" t="s">
        <v>22</v>
      </c>
      <c r="I885" s="341"/>
      <c r="J885" s="341"/>
      <c r="K885" s="341"/>
      <c r="L885" s="341"/>
      <c r="M885" s="342"/>
      <c r="N885" s="341"/>
      <c r="O885" s="338">
        <f t="shared" si="406"/>
        <v>0</v>
      </c>
      <c r="P885" s="341"/>
      <c r="Q885" s="431"/>
      <c r="T885" s="418"/>
    </row>
    <row r="886" spans="3:20" ht="15" hidden="1" outlineLevel="2">
      <c r="C886" s="1464"/>
      <c r="D886" s="1464"/>
      <c r="E886" s="1466"/>
      <c r="F886" s="1468"/>
      <c r="G886" s="343"/>
      <c r="H886" s="335" t="s">
        <v>22</v>
      </c>
      <c r="I886" s="341"/>
      <c r="J886" s="341"/>
      <c r="K886" s="341"/>
      <c r="L886" s="341"/>
      <c r="M886" s="337"/>
      <c r="N886" s="341"/>
      <c r="O886" s="338">
        <f t="shared" si="406"/>
        <v>0</v>
      </c>
      <c r="P886" s="341"/>
      <c r="Q886" s="431"/>
      <c r="T886" s="418"/>
    </row>
    <row r="887" spans="3:20" ht="15" hidden="1" outlineLevel="2">
      <c r="C887" s="1464"/>
      <c r="D887" s="1464"/>
      <c r="E887" s="1466"/>
      <c r="F887" s="1468"/>
      <c r="G887" s="343"/>
      <c r="H887" s="335" t="s">
        <v>22</v>
      </c>
      <c r="I887" s="341"/>
      <c r="J887" s="341"/>
      <c r="K887" s="341"/>
      <c r="L887" s="341"/>
      <c r="M887" s="342"/>
      <c r="N887" s="341"/>
      <c r="O887" s="338">
        <f t="shared" si="406"/>
        <v>0</v>
      </c>
      <c r="P887" s="341"/>
      <c r="Q887" s="431"/>
      <c r="T887" s="418"/>
    </row>
    <row r="888" spans="3:20" ht="15" hidden="1" outlineLevel="2">
      <c r="C888" s="1464"/>
      <c r="D888" s="1464"/>
      <c r="E888" s="1466"/>
      <c r="F888" s="1468"/>
      <c r="G888" s="343"/>
      <c r="H888" s="335" t="s">
        <v>22</v>
      </c>
      <c r="I888" s="341"/>
      <c r="J888" s="341"/>
      <c r="K888" s="341"/>
      <c r="L888" s="341"/>
      <c r="M888" s="342"/>
      <c r="N888" s="341"/>
      <c r="O888" s="338">
        <f t="shared" si="406"/>
        <v>0</v>
      </c>
      <c r="P888" s="341"/>
      <c r="Q888" s="431"/>
      <c r="T888" s="418"/>
    </row>
    <row r="889" spans="3:20" ht="15" hidden="1" outlineLevel="2">
      <c r="C889" s="1464"/>
      <c r="D889" s="1464"/>
      <c r="E889" s="1466"/>
      <c r="F889" s="1468"/>
      <c r="G889" s="343"/>
      <c r="H889" s="335" t="s">
        <v>22</v>
      </c>
      <c r="I889" s="341"/>
      <c r="J889" s="341"/>
      <c r="K889" s="341"/>
      <c r="L889" s="341"/>
      <c r="M889" s="342"/>
      <c r="N889" s="341"/>
      <c r="O889" s="338">
        <f t="shared" si="406"/>
        <v>0</v>
      </c>
      <c r="P889" s="341"/>
      <c r="Q889" s="431"/>
      <c r="T889" s="418"/>
    </row>
    <row r="890" spans="3:20" ht="15" hidden="1" outlineLevel="2">
      <c r="C890" s="1464"/>
      <c r="D890" s="1464"/>
      <c r="E890" s="1466"/>
      <c r="F890" s="1468"/>
      <c r="G890" s="343"/>
      <c r="H890" s="335" t="s">
        <v>22</v>
      </c>
      <c r="I890" s="341"/>
      <c r="J890" s="341"/>
      <c r="K890" s="341"/>
      <c r="L890" s="341"/>
      <c r="M890" s="342"/>
      <c r="N890" s="341"/>
      <c r="O890" s="338">
        <f t="shared" si="406"/>
        <v>0</v>
      </c>
      <c r="P890" s="341"/>
      <c r="Q890" s="431"/>
      <c r="T890" s="418"/>
    </row>
    <row r="891" spans="3:20" ht="15" hidden="1" outlineLevel="2">
      <c r="C891" s="1464"/>
      <c r="D891" s="1464"/>
      <c r="E891" s="1466"/>
      <c r="F891" s="1468"/>
      <c r="G891" s="343"/>
      <c r="H891" s="335" t="s">
        <v>22</v>
      </c>
      <c r="I891" s="341"/>
      <c r="J891" s="341"/>
      <c r="K891" s="341"/>
      <c r="L891" s="341"/>
      <c r="M891" s="342"/>
      <c r="N891" s="341"/>
      <c r="O891" s="338">
        <f t="shared" si="406"/>
        <v>0</v>
      </c>
      <c r="P891" s="341"/>
      <c r="Q891" s="431"/>
      <c r="T891" s="418"/>
    </row>
    <row r="892" spans="3:20" ht="15" hidden="1" outlineLevel="2">
      <c r="C892" s="1464"/>
      <c r="D892" s="1464"/>
      <c r="E892" s="1466"/>
      <c r="F892" s="1468"/>
      <c r="G892" s="344"/>
      <c r="H892" s="335" t="s">
        <v>22</v>
      </c>
      <c r="I892" s="345"/>
      <c r="J892" s="345"/>
      <c r="K892" s="345"/>
      <c r="L892" s="345"/>
      <c r="M892" s="346"/>
      <c r="N892" s="345"/>
      <c r="O892" s="338">
        <f t="shared" si="406"/>
        <v>0</v>
      </c>
      <c r="P892" s="345"/>
      <c r="Q892" s="432"/>
      <c r="T892" s="418"/>
    </row>
    <row r="893" spans="3:20" ht="15" hidden="1" outlineLevel="2">
      <c r="C893" s="1464"/>
      <c r="D893" s="1464"/>
      <c r="E893" s="1466"/>
      <c r="F893" s="1468"/>
      <c r="G893" s="343"/>
      <c r="H893" s="335" t="s">
        <v>22</v>
      </c>
      <c r="I893" s="341"/>
      <c r="J893" s="341"/>
      <c r="K893" s="341"/>
      <c r="L893" s="341"/>
      <c r="M893" s="342"/>
      <c r="N893" s="341"/>
      <c r="O893" s="338">
        <f t="shared" si="406"/>
        <v>0</v>
      </c>
      <c r="P893" s="341"/>
      <c r="Q893" s="431"/>
      <c r="T893" s="418"/>
    </row>
    <row r="894" spans="3:20" ht="15" hidden="1" outlineLevel="2">
      <c r="C894" s="1464"/>
      <c r="D894" s="1464"/>
      <c r="E894" s="1466"/>
      <c r="F894" s="1468"/>
      <c r="G894" s="1470" t="s">
        <v>44</v>
      </c>
      <c r="H894" s="1471"/>
      <c r="I894" s="347">
        <f>SUM(I884:I893)</f>
        <v>0</v>
      </c>
      <c r="J894" s="347">
        <f t="shared" ref="J894:K894" si="410">SUM(J884:J893)</f>
        <v>0</v>
      </c>
      <c r="K894" s="347">
        <f t="shared" si="410"/>
        <v>0</v>
      </c>
      <c r="L894" s="347">
        <f t="shared" ref="L894" si="411">SUM(L884:L893)</f>
        <v>0</v>
      </c>
      <c r="M894" s="348"/>
      <c r="N894" s="347">
        <f>N884</f>
        <v>0</v>
      </c>
      <c r="O894" s="349">
        <f t="shared" si="406"/>
        <v>0</v>
      </c>
      <c r="P894" s="347">
        <f t="shared" ref="P894:Q894" si="412">SUM(P884:P893)</f>
        <v>0</v>
      </c>
      <c r="Q894" s="433">
        <f t="shared" si="412"/>
        <v>0</v>
      </c>
      <c r="T894" s="418"/>
    </row>
    <row r="895" spans="3:20" ht="15" outlineLevel="1" collapsed="1">
      <c r="C895" s="1464"/>
      <c r="D895" s="1464"/>
      <c r="E895" s="1466"/>
      <c r="F895" s="1469"/>
      <c r="G895" s="1470" t="s">
        <v>177</v>
      </c>
      <c r="H895" s="1471"/>
      <c r="I895" s="347">
        <f>(I883*jodrate)+I894</f>
        <v>0</v>
      </c>
      <c r="J895" s="347">
        <f>(J883*jodrate)+J894</f>
        <v>0</v>
      </c>
      <c r="K895" s="347">
        <f>(K883*jodrate)+K894</f>
        <v>0</v>
      </c>
      <c r="L895" s="347">
        <f>(L883*jodrate)+L894</f>
        <v>0</v>
      </c>
      <c r="M895" s="348"/>
      <c r="N895" s="347">
        <f>(N883*jodrate)+N894</f>
        <v>0</v>
      </c>
      <c r="O895" s="349">
        <f t="shared" si="406"/>
        <v>0</v>
      </c>
      <c r="P895" s="347">
        <f>(P883*jodrate)+P894</f>
        <v>0</v>
      </c>
      <c r="Q895" s="433">
        <f>(Q883*jodrate)+Q894</f>
        <v>0</v>
      </c>
      <c r="T895" s="418"/>
    </row>
    <row r="896" spans="3:20" ht="15">
      <c r="C896" s="1464"/>
      <c r="D896" s="1464"/>
      <c r="E896" s="1467"/>
      <c r="F896" s="1473" t="s">
        <v>175</v>
      </c>
      <c r="G896" s="1474"/>
      <c r="H896" s="1474"/>
      <c r="I896" s="355">
        <f>I804+I838+I872+I895</f>
        <v>0</v>
      </c>
      <c r="J896" s="355">
        <f t="shared" ref="J896:K896" si="413">J804+J838+J872+J895</f>
        <v>0</v>
      </c>
      <c r="K896" s="355">
        <f t="shared" si="413"/>
        <v>0</v>
      </c>
      <c r="L896" s="355">
        <f t="shared" ref="L896" si="414">L804+L838+L872+L895</f>
        <v>0</v>
      </c>
      <c r="M896" s="355"/>
      <c r="N896" s="355">
        <f t="shared" ref="N896" si="415">N804+N838+N872+N895</f>
        <v>0</v>
      </c>
      <c r="O896" s="356">
        <f t="shared" ref="O896:O959" si="416">IF(N896=0,0,N896/J896)</f>
        <v>0</v>
      </c>
      <c r="P896" s="355">
        <f t="shared" ref="P896:Q896" si="417">P804+P838+P872+P895</f>
        <v>0</v>
      </c>
      <c r="Q896" s="434">
        <f t="shared" si="417"/>
        <v>0</v>
      </c>
      <c r="T896" s="418">
        <f>IF(H771="USD",I771*R771,IF(H771="ILS",(I771*R771/usdrate),IF(H771="JOD",(I771*R771*jodrate),"")))</f>
        <v>0</v>
      </c>
    </row>
    <row r="897" spans="3:20" ht="15" hidden="1" outlineLevel="2">
      <c r="C897" s="1464"/>
      <c r="D897" s="1464"/>
      <c r="E897" s="1458" t="s">
        <v>168</v>
      </c>
      <c r="F897" s="1461" t="s">
        <v>173</v>
      </c>
      <c r="G897" s="350"/>
      <c r="H897" s="335" t="s">
        <v>4</v>
      </c>
      <c r="I897" s="336"/>
      <c r="J897" s="336">
        <f>I897</f>
        <v>0</v>
      </c>
      <c r="K897" s="336">
        <v>0</v>
      </c>
      <c r="L897" s="336">
        <v>0</v>
      </c>
      <c r="M897" s="337"/>
      <c r="N897" s="336"/>
      <c r="O897" s="338">
        <f t="shared" si="416"/>
        <v>0</v>
      </c>
      <c r="P897" s="336">
        <f t="shared" ref="P897:Q900" si="418">O897</f>
        <v>0</v>
      </c>
      <c r="Q897" s="430">
        <f t="shared" si="418"/>
        <v>0</v>
      </c>
      <c r="T897" s="418"/>
    </row>
    <row r="898" spans="3:20" ht="15" hidden="1" outlineLevel="2">
      <c r="C898" s="1464"/>
      <c r="D898" s="1464"/>
      <c r="E898" s="1459"/>
      <c r="F898" s="1462"/>
      <c r="G898" s="343"/>
      <c r="H898" s="340" t="s">
        <v>4</v>
      </c>
      <c r="I898" s="341"/>
      <c r="J898" s="336">
        <f>I898</f>
        <v>0</v>
      </c>
      <c r="K898" s="341">
        <v>0</v>
      </c>
      <c r="L898" s="341">
        <v>0</v>
      </c>
      <c r="M898" s="342"/>
      <c r="N898" s="341"/>
      <c r="O898" s="338">
        <f t="shared" si="416"/>
        <v>0</v>
      </c>
      <c r="P898" s="336">
        <f t="shared" si="418"/>
        <v>0</v>
      </c>
      <c r="Q898" s="430">
        <f t="shared" si="418"/>
        <v>0</v>
      </c>
      <c r="T898" s="418"/>
    </row>
    <row r="899" spans="3:20" ht="15" hidden="1" outlineLevel="2">
      <c r="C899" s="1464"/>
      <c r="D899" s="1464"/>
      <c r="E899" s="1459"/>
      <c r="F899" s="1462"/>
      <c r="G899" s="343"/>
      <c r="H899" s="340" t="s">
        <v>4</v>
      </c>
      <c r="I899" s="341"/>
      <c r="J899" s="336">
        <f>I899</f>
        <v>0</v>
      </c>
      <c r="K899" s="341">
        <v>0</v>
      </c>
      <c r="L899" s="341">
        <v>0</v>
      </c>
      <c r="M899" s="342"/>
      <c r="N899" s="341"/>
      <c r="O899" s="338">
        <f t="shared" si="416"/>
        <v>0</v>
      </c>
      <c r="P899" s="336">
        <f t="shared" si="418"/>
        <v>0</v>
      </c>
      <c r="Q899" s="430">
        <f t="shared" si="418"/>
        <v>0</v>
      </c>
      <c r="T899" s="418"/>
    </row>
    <row r="900" spans="3:20" ht="15" hidden="1" outlineLevel="2">
      <c r="C900" s="1464"/>
      <c r="D900" s="1464"/>
      <c r="E900" s="1459"/>
      <c r="F900" s="1462"/>
      <c r="G900" s="343"/>
      <c r="H900" s="340" t="s">
        <v>4</v>
      </c>
      <c r="I900" s="341"/>
      <c r="J900" s="336">
        <f>I900</f>
        <v>0</v>
      </c>
      <c r="K900" s="341">
        <v>0</v>
      </c>
      <c r="L900" s="341">
        <v>0</v>
      </c>
      <c r="M900" s="342"/>
      <c r="N900" s="341"/>
      <c r="O900" s="357">
        <f t="shared" si="416"/>
        <v>0</v>
      </c>
      <c r="P900" s="336">
        <f t="shared" si="418"/>
        <v>0</v>
      </c>
      <c r="Q900" s="430">
        <f t="shared" si="418"/>
        <v>0</v>
      </c>
      <c r="T900" s="418"/>
    </row>
    <row r="901" spans="3:20" ht="15" hidden="1" outlineLevel="2">
      <c r="C901" s="1464"/>
      <c r="D901" s="1464"/>
      <c r="E901" s="1459"/>
      <c r="F901" s="1462"/>
      <c r="G901" s="343"/>
      <c r="H901" s="340" t="s">
        <v>4</v>
      </c>
      <c r="I901" s="341"/>
      <c r="J901" s="336">
        <f t="shared" ref="J901:J924" si="419">I901</f>
        <v>0</v>
      </c>
      <c r="K901" s="341">
        <v>0</v>
      </c>
      <c r="L901" s="341">
        <v>0</v>
      </c>
      <c r="M901" s="342"/>
      <c r="N901" s="341"/>
      <c r="O901" s="358">
        <f t="shared" si="416"/>
        <v>0</v>
      </c>
      <c r="P901" s="336">
        <f t="shared" ref="P901:Q924" si="420">O901</f>
        <v>0</v>
      </c>
      <c r="Q901" s="430">
        <f t="shared" si="420"/>
        <v>0</v>
      </c>
      <c r="T901" s="418"/>
    </row>
    <row r="902" spans="3:20" ht="15" hidden="1" outlineLevel="2">
      <c r="C902" s="1464"/>
      <c r="D902" s="1464"/>
      <c r="E902" s="1459"/>
      <c r="F902" s="1462"/>
      <c r="G902" s="343"/>
      <c r="H902" s="340" t="s">
        <v>4</v>
      </c>
      <c r="I902" s="341"/>
      <c r="J902" s="336">
        <f t="shared" si="419"/>
        <v>0</v>
      </c>
      <c r="K902" s="341">
        <v>0</v>
      </c>
      <c r="L902" s="341">
        <v>0</v>
      </c>
      <c r="M902" s="342"/>
      <c r="N902" s="341"/>
      <c r="O902" s="338">
        <f t="shared" si="416"/>
        <v>0</v>
      </c>
      <c r="P902" s="336">
        <f t="shared" si="420"/>
        <v>0</v>
      </c>
      <c r="Q902" s="430">
        <f t="shared" si="420"/>
        <v>0</v>
      </c>
      <c r="T902" s="418"/>
    </row>
    <row r="903" spans="3:20" ht="15" hidden="1" outlineLevel="2">
      <c r="C903" s="1464"/>
      <c r="D903" s="1464"/>
      <c r="E903" s="1459"/>
      <c r="F903" s="1462"/>
      <c r="G903" s="343"/>
      <c r="H903" s="340" t="s">
        <v>4</v>
      </c>
      <c r="I903" s="341"/>
      <c r="J903" s="336">
        <f t="shared" si="419"/>
        <v>0</v>
      </c>
      <c r="K903" s="341">
        <v>0</v>
      </c>
      <c r="L903" s="341">
        <v>0</v>
      </c>
      <c r="M903" s="342"/>
      <c r="N903" s="341"/>
      <c r="O903" s="338">
        <f t="shared" si="416"/>
        <v>0</v>
      </c>
      <c r="P903" s="336">
        <f t="shared" si="420"/>
        <v>0</v>
      </c>
      <c r="Q903" s="430">
        <f t="shared" si="420"/>
        <v>0</v>
      </c>
      <c r="T903" s="418"/>
    </row>
    <row r="904" spans="3:20" ht="15" hidden="1" outlineLevel="2">
      <c r="C904" s="1464"/>
      <c r="D904" s="1464"/>
      <c r="E904" s="1459"/>
      <c r="F904" s="1462"/>
      <c r="G904" s="343"/>
      <c r="H904" s="340" t="s">
        <v>4</v>
      </c>
      <c r="I904" s="341"/>
      <c r="J904" s="336">
        <f t="shared" si="419"/>
        <v>0</v>
      </c>
      <c r="K904" s="341">
        <v>0</v>
      </c>
      <c r="L904" s="341">
        <v>0</v>
      </c>
      <c r="M904" s="342"/>
      <c r="N904" s="341"/>
      <c r="O904" s="338">
        <f t="shared" si="416"/>
        <v>0</v>
      </c>
      <c r="P904" s="336">
        <f t="shared" si="420"/>
        <v>0</v>
      </c>
      <c r="Q904" s="430">
        <f t="shared" si="420"/>
        <v>0</v>
      </c>
      <c r="T904" s="418"/>
    </row>
    <row r="905" spans="3:20" ht="15" hidden="1" outlineLevel="2">
      <c r="C905" s="1464"/>
      <c r="D905" s="1464"/>
      <c r="E905" s="1459"/>
      <c r="F905" s="1462"/>
      <c r="G905" s="343"/>
      <c r="H905" s="340" t="s">
        <v>4</v>
      </c>
      <c r="I905" s="341"/>
      <c r="J905" s="336">
        <f t="shared" si="419"/>
        <v>0</v>
      </c>
      <c r="K905" s="341">
        <v>0</v>
      </c>
      <c r="L905" s="341">
        <v>0</v>
      </c>
      <c r="M905" s="342"/>
      <c r="N905" s="341"/>
      <c r="O905" s="338">
        <f t="shared" si="416"/>
        <v>0</v>
      </c>
      <c r="P905" s="336">
        <f t="shared" si="420"/>
        <v>0</v>
      </c>
      <c r="Q905" s="430">
        <f t="shared" si="420"/>
        <v>0</v>
      </c>
      <c r="T905" s="418"/>
    </row>
    <row r="906" spans="3:20" ht="15" hidden="1" outlineLevel="2">
      <c r="C906" s="1464"/>
      <c r="D906" s="1464"/>
      <c r="E906" s="1459"/>
      <c r="F906" s="1462"/>
      <c r="G906" s="343"/>
      <c r="H906" s="340" t="s">
        <v>4</v>
      </c>
      <c r="I906" s="341"/>
      <c r="J906" s="336">
        <f t="shared" si="419"/>
        <v>0</v>
      </c>
      <c r="K906" s="341">
        <v>0</v>
      </c>
      <c r="L906" s="341">
        <v>0</v>
      </c>
      <c r="M906" s="342"/>
      <c r="N906" s="341"/>
      <c r="O906" s="338">
        <f t="shared" si="416"/>
        <v>0</v>
      </c>
      <c r="P906" s="336">
        <f t="shared" si="420"/>
        <v>0</v>
      </c>
      <c r="Q906" s="430">
        <f t="shared" si="420"/>
        <v>0</v>
      </c>
      <c r="T906" s="418"/>
    </row>
    <row r="907" spans="3:20" ht="15" hidden="1" outlineLevel="2">
      <c r="C907" s="1464"/>
      <c r="D907" s="1464"/>
      <c r="E907" s="1459"/>
      <c r="F907" s="1462"/>
      <c r="G907" s="343"/>
      <c r="H907" s="340" t="s">
        <v>4</v>
      </c>
      <c r="I907" s="341"/>
      <c r="J907" s="336">
        <f t="shared" si="419"/>
        <v>0</v>
      </c>
      <c r="K907" s="341">
        <v>0</v>
      </c>
      <c r="L907" s="341">
        <v>0</v>
      </c>
      <c r="M907" s="342"/>
      <c r="N907" s="341"/>
      <c r="O907" s="338">
        <f t="shared" si="416"/>
        <v>0</v>
      </c>
      <c r="P907" s="336">
        <f t="shared" si="420"/>
        <v>0</v>
      </c>
      <c r="Q907" s="430">
        <f t="shared" si="420"/>
        <v>0</v>
      </c>
      <c r="T907" s="418"/>
    </row>
    <row r="908" spans="3:20" ht="15" hidden="1" outlineLevel="2">
      <c r="C908" s="1464"/>
      <c r="D908" s="1464"/>
      <c r="E908" s="1459"/>
      <c r="F908" s="1462"/>
      <c r="G908" s="343"/>
      <c r="H908" s="340" t="s">
        <v>4</v>
      </c>
      <c r="I908" s="341"/>
      <c r="J908" s="336">
        <f t="shared" si="419"/>
        <v>0</v>
      </c>
      <c r="K908" s="341">
        <v>0</v>
      </c>
      <c r="L908" s="341">
        <v>0</v>
      </c>
      <c r="M908" s="342"/>
      <c r="N908" s="341"/>
      <c r="O908" s="338">
        <f t="shared" si="416"/>
        <v>0</v>
      </c>
      <c r="P908" s="336">
        <f t="shared" si="420"/>
        <v>0</v>
      </c>
      <c r="Q908" s="430">
        <f t="shared" si="420"/>
        <v>0</v>
      </c>
      <c r="T908" s="418"/>
    </row>
    <row r="909" spans="3:20" ht="15" hidden="1" outlineLevel="2">
      <c r="C909" s="1464"/>
      <c r="D909" s="1464"/>
      <c r="E909" s="1459"/>
      <c r="F909" s="1462"/>
      <c r="G909" s="343"/>
      <c r="H909" s="340" t="s">
        <v>4</v>
      </c>
      <c r="I909" s="341"/>
      <c r="J909" s="336">
        <f t="shared" si="419"/>
        <v>0</v>
      </c>
      <c r="K909" s="341">
        <v>0</v>
      </c>
      <c r="L909" s="341">
        <v>0</v>
      </c>
      <c r="M909" s="342"/>
      <c r="N909" s="341"/>
      <c r="O909" s="338">
        <f t="shared" si="416"/>
        <v>0</v>
      </c>
      <c r="P909" s="336">
        <f t="shared" si="420"/>
        <v>0</v>
      </c>
      <c r="Q909" s="430">
        <f t="shared" si="420"/>
        <v>0</v>
      </c>
      <c r="T909" s="418"/>
    </row>
    <row r="910" spans="3:20" ht="15" hidden="1" outlineLevel="2">
      <c r="C910" s="1464"/>
      <c r="D910" s="1464"/>
      <c r="E910" s="1459"/>
      <c r="F910" s="1462"/>
      <c r="G910" s="343"/>
      <c r="H910" s="340" t="s">
        <v>4</v>
      </c>
      <c r="I910" s="341"/>
      <c r="J910" s="336">
        <f t="shared" si="419"/>
        <v>0</v>
      </c>
      <c r="K910" s="341">
        <v>0</v>
      </c>
      <c r="L910" s="341">
        <v>0</v>
      </c>
      <c r="M910" s="342"/>
      <c r="N910" s="341"/>
      <c r="O910" s="338">
        <f t="shared" si="416"/>
        <v>0</v>
      </c>
      <c r="P910" s="336">
        <f t="shared" si="420"/>
        <v>0</v>
      </c>
      <c r="Q910" s="430">
        <f t="shared" si="420"/>
        <v>0</v>
      </c>
      <c r="T910" s="418"/>
    </row>
    <row r="911" spans="3:20" ht="15" hidden="1" outlineLevel="2">
      <c r="C911" s="1464"/>
      <c r="D911" s="1464"/>
      <c r="E911" s="1459"/>
      <c r="F911" s="1462"/>
      <c r="G911" s="343"/>
      <c r="H911" s="340" t="s">
        <v>4</v>
      </c>
      <c r="I911" s="341"/>
      <c r="J911" s="336">
        <f t="shared" si="419"/>
        <v>0</v>
      </c>
      <c r="K911" s="341">
        <v>0</v>
      </c>
      <c r="L911" s="341">
        <v>0</v>
      </c>
      <c r="M911" s="342"/>
      <c r="N911" s="341"/>
      <c r="O911" s="338">
        <f t="shared" si="416"/>
        <v>0</v>
      </c>
      <c r="P911" s="336">
        <f t="shared" si="420"/>
        <v>0</v>
      </c>
      <c r="Q911" s="430">
        <f t="shared" si="420"/>
        <v>0</v>
      </c>
      <c r="T911" s="418"/>
    </row>
    <row r="912" spans="3:20" ht="15" hidden="1" outlineLevel="2">
      <c r="C912" s="1464"/>
      <c r="D912" s="1464"/>
      <c r="E912" s="1459"/>
      <c r="F912" s="1462"/>
      <c r="G912" s="343"/>
      <c r="H912" s="340" t="s">
        <v>4</v>
      </c>
      <c r="I912" s="341"/>
      <c r="J912" s="336">
        <f t="shared" si="419"/>
        <v>0</v>
      </c>
      <c r="K912" s="341">
        <v>0</v>
      </c>
      <c r="L912" s="341">
        <v>0</v>
      </c>
      <c r="M912" s="342"/>
      <c r="N912" s="341"/>
      <c r="O912" s="338">
        <f t="shared" si="416"/>
        <v>0</v>
      </c>
      <c r="P912" s="336">
        <f t="shared" si="420"/>
        <v>0</v>
      </c>
      <c r="Q912" s="430">
        <f t="shared" si="420"/>
        <v>0</v>
      </c>
      <c r="T912" s="418"/>
    </row>
    <row r="913" spans="3:20" ht="15" hidden="1" outlineLevel="2">
      <c r="C913" s="1464"/>
      <c r="D913" s="1464"/>
      <c r="E913" s="1459"/>
      <c r="F913" s="1462"/>
      <c r="G913" s="343"/>
      <c r="H913" s="340" t="s">
        <v>4</v>
      </c>
      <c r="I913" s="341"/>
      <c r="J913" s="336">
        <f t="shared" si="419"/>
        <v>0</v>
      </c>
      <c r="K913" s="341">
        <v>0</v>
      </c>
      <c r="L913" s="341">
        <v>0</v>
      </c>
      <c r="M913" s="342"/>
      <c r="N913" s="341"/>
      <c r="O913" s="338">
        <f t="shared" si="416"/>
        <v>0</v>
      </c>
      <c r="P913" s="336">
        <f t="shared" si="420"/>
        <v>0</v>
      </c>
      <c r="Q913" s="430">
        <f t="shared" si="420"/>
        <v>0</v>
      </c>
      <c r="T913" s="418"/>
    </row>
    <row r="914" spans="3:20" ht="15" hidden="1" outlineLevel="2">
      <c r="C914" s="1464"/>
      <c r="D914" s="1464"/>
      <c r="E914" s="1459"/>
      <c r="F914" s="1462"/>
      <c r="G914" s="343"/>
      <c r="H914" s="340" t="s">
        <v>4</v>
      </c>
      <c r="I914" s="341"/>
      <c r="J914" s="336">
        <f t="shared" si="419"/>
        <v>0</v>
      </c>
      <c r="K914" s="341">
        <v>0</v>
      </c>
      <c r="L914" s="341">
        <v>0</v>
      </c>
      <c r="M914" s="342"/>
      <c r="N914" s="341"/>
      <c r="O914" s="338">
        <f t="shared" si="416"/>
        <v>0</v>
      </c>
      <c r="P914" s="336">
        <f t="shared" si="420"/>
        <v>0</v>
      </c>
      <c r="Q914" s="430">
        <f t="shared" si="420"/>
        <v>0</v>
      </c>
      <c r="T914" s="418"/>
    </row>
    <row r="915" spans="3:20" ht="15" hidden="1" outlineLevel="2">
      <c r="C915" s="1464"/>
      <c r="D915" s="1464"/>
      <c r="E915" s="1459"/>
      <c r="F915" s="1462"/>
      <c r="G915" s="343"/>
      <c r="H915" s="340" t="s">
        <v>4</v>
      </c>
      <c r="I915" s="341"/>
      <c r="J915" s="336">
        <f t="shared" si="419"/>
        <v>0</v>
      </c>
      <c r="K915" s="341">
        <v>0</v>
      </c>
      <c r="L915" s="341">
        <v>0</v>
      </c>
      <c r="M915" s="342"/>
      <c r="N915" s="341"/>
      <c r="O915" s="338">
        <f t="shared" si="416"/>
        <v>0</v>
      </c>
      <c r="P915" s="336">
        <f t="shared" si="420"/>
        <v>0</v>
      </c>
      <c r="Q915" s="430">
        <f t="shared" si="420"/>
        <v>0</v>
      </c>
      <c r="T915" s="418"/>
    </row>
    <row r="916" spans="3:20" ht="15" hidden="1" outlineLevel="2">
      <c r="C916" s="1464"/>
      <c r="D916" s="1464"/>
      <c r="E916" s="1459"/>
      <c r="F916" s="1462"/>
      <c r="G916" s="343"/>
      <c r="H916" s="340" t="s">
        <v>4</v>
      </c>
      <c r="I916" s="341"/>
      <c r="J916" s="336">
        <f t="shared" si="419"/>
        <v>0</v>
      </c>
      <c r="K916" s="341">
        <v>0</v>
      </c>
      <c r="L916" s="341">
        <v>0</v>
      </c>
      <c r="M916" s="342"/>
      <c r="N916" s="341"/>
      <c r="O916" s="338">
        <f t="shared" si="416"/>
        <v>0</v>
      </c>
      <c r="P916" s="336">
        <f t="shared" si="420"/>
        <v>0</v>
      </c>
      <c r="Q916" s="430">
        <f t="shared" si="420"/>
        <v>0</v>
      </c>
      <c r="T916" s="418"/>
    </row>
    <row r="917" spans="3:20" ht="15" hidden="1" outlineLevel="2">
      <c r="C917" s="1464"/>
      <c r="D917" s="1464"/>
      <c r="E917" s="1459"/>
      <c r="F917" s="1462"/>
      <c r="G917" s="343"/>
      <c r="H917" s="340" t="s">
        <v>4</v>
      </c>
      <c r="I917" s="341"/>
      <c r="J917" s="336">
        <f t="shared" si="419"/>
        <v>0</v>
      </c>
      <c r="K917" s="341">
        <v>0</v>
      </c>
      <c r="L917" s="341">
        <v>0</v>
      </c>
      <c r="M917" s="342"/>
      <c r="N917" s="341"/>
      <c r="O917" s="338">
        <f t="shared" si="416"/>
        <v>0</v>
      </c>
      <c r="P917" s="336">
        <f t="shared" si="420"/>
        <v>0</v>
      </c>
      <c r="Q917" s="430">
        <f t="shared" si="420"/>
        <v>0</v>
      </c>
      <c r="T917" s="418"/>
    </row>
    <row r="918" spans="3:20" ht="15" hidden="1" outlineLevel="2">
      <c r="C918" s="1464"/>
      <c r="D918" s="1464"/>
      <c r="E918" s="1459"/>
      <c r="F918" s="1462"/>
      <c r="G918" s="343"/>
      <c r="H918" s="340" t="s">
        <v>4</v>
      </c>
      <c r="I918" s="341"/>
      <c r="J918" s="336">
        <f t="shared" si="419"/>
        <v>0</v>
      </c>
      <c r="K918" s="341">
        <v>0</v>
      </c>
      <c r="L918" s="341">
        <v>0</v>
      </c>
      <c r="M918" s="342"/>
      <c r="N918" s="341"/>
      <c r="O918" s="338">
        <f t="shared" si="416"/>
        <v>0</v>
      </c>
      <c r="P918" s="336">
        <f t="shared" si="420"/>
        <v>0</v>
      </c>
      <c r="Q918" s="430">
        <f t="shared" si="420"/>
        <v>0</v>
      </c>
      <c r="T918" s="418"/>
    </row>
    <row r="919" spans="3:20" ht="15" hidden="1" outlineLevel="2">
      <c r="C919" s="1464"/>
      <c r="D919" s="1464"/>
      <c r="E919" s="1459"/>
      <c r="F919" s="1462"/>
      <c r="G919" s="343"/>
      <c r="H919" s="340" t="s">
        <v>4</v>
      </c>
      <c r="I919" s="341"/>
      <c r="J919" s="336">
        <f t="shared" si="419"/>
        <v>0</v>
      </c>
      <c r="K919" s="341">
        <v>0</v>
      </c>
      <c r="L919" s="341">
        <v>0</v>
      </c>
      <c r="M919" s="342"/>
      <c r="N919" s="341"/>
      <c r="O919" s="338">
        <f t="shared" si="416"/>
        <v>0</v>
      </c>
      <c r="P919" s="336">
        <f t="shared" si="420"/>
        <v>0</v>
      </c>
      <c r="Q919" s="430">
        <f t="shared" si="420"/>
        <v>0</v>
      </c>
      <c r="T919" s="418"/>
    </row>
    <row r="920" spans="3:20" ht="15" hidden="1" outlineLevel="2">
      <c r="C920" s="1464"/>
      <c r="D920" s="1464"/>
      <c r="E920" s="1459"/>
      <c r="F920" s="1462"/>
      <c r="G920" s="343"/>
      <c r="H920" s="340" t="s">
        <v>4</v>
      </c>
      <c r="I920" s="341"/>
      <c r="J920" s="336">
        <f t="shared" si="419"/>
        <v>0</v>
      </c>
      <c r="K920" s="341">
        <v>0</v>
      </c>
      <c r="L920" s="341">
        <v>0</v>
      </c>
      <c r="M920" s="342"/>
      <c r="N920" s="341"/>
      <c r="O920" s="338">
        <f t="shared" si="416"/>
        <v>0</v>
      </c>
      <c r="P920" s="336">
        <f t="shared" si="420"/>
        <v>0</v>
      </c>
      <c r="Q920" s="430">
        <f t="shared" si="420"/>
        <v>0</v>
      </c>
      <c r="T920" s="418"/>
    </row>
    <row r="921" spans="3:20" ht="15" hidden="1" outlineLevel="2">
      <c r="C921" s="1464"/>
      <c r="D921" s="1464"/>
      <c r="E921" s="1459"/>
      <c r="F921" s="1462"/>
      <c r="G921" s="343"/>
      <c r="H921" s="340" t="s">
        <v>4</v>
      </c>
      <c r="I921" s="341"/>
      <c r="J921" s="336">
        <f t="shared" si="419"/>
        <v>0</v>
      </c>
      <c r="K921" s="341">
        <v>0</v>
      </c>
      <c r="L921" s="341">
        <v>0</v>
      </c>
      <c r="M921" s="342"/>
      <c r="N921" s="341"/>
      <c r="O921" s="338">
        <f t="shared" si="416"/>
        <v>0</v>
      </c>
      <c r="P921" s="336">
        <f t="shared" si="420"/>
        <v>0</v>
      </c>
      <c r="Q921" s="430">
        <f t="shared" si="420"/>
        <v>0</v>
      </c>
      <c r="T921" s="418"/>
    </row>
    <row r="922" spans="3:20" ht="15" hidden="1" outlineLevel="2">
      <c r="C922" s="1464"/>
      <c r="D922" s="1464"/>
      <c r="E922" s="1459"/>
      <c r="F922" s="1462"/>
      <c r="G922" s="343"/>
      <c r="H922" s="340" t="s">
        <v>4</v>
      </c>
      <c r="I922" s="341"/>
      <c r="J922" s="336">
        <f t="shared" si="419"/>
        <v>0</v>
      </c>
      <c r="K922" s="341">
        <v>0</v>
      </c>
      <c r="L922" s="341">
        <v>0</v>
      </c>
      <c r="M922" s="342"/>
      <c r="N922" s="341"/>
      <c r="O922" s="338">
        <f t="shared" si="416"/>
        <v>0</v>
      </c>
      <c r="P922" s="336">
        <f t="shared" si="420"/>
        <v>0</v>
      </c>
      <c r="Q922" s="430">
        <f t="shared" si="420"/>
        <v>0</v>
      </c>
      <c r="T922" s="418"/>
    </row>
    <row r="923" spans="3:20" ht="15" hidden="1" outlineLevel="2">
      <c r="C923" s="1464"/>
      <c r="D923" s="1464"/>
      <c r="E923" s="1459"/>
      <c r="F923" s="1462"/>
      <c r="G923" s="343"/>
      <c r="H923" s="340" t="s">
        <v>4</v>
      </c>
      <c r="I923" s="341"/>
      <c r="J923" s="336">
        <f t="shared" si="419"/>
        <v>0</v>
      </c>
      <c r="K923" s="341">
        <v>0</v>
      </c>
      <c r="L923" s="341">
        <v>0</v>
      </c>
      <c r="M923" s="342"/>
      <c r="N923" s="341"/>
      <c r="O923" s="338">
        <f t="shared" si="416"/>
        <v>0</v>
      </c>
      <c r="P923" s="336">
        <f t="shared" si="420"/>
        <v>0</v>
      </c>
      <c r="Q923" s="430">
        <f t="shared" si="420"/>
        <v>0</v>
      </c>
      <c r="T923" s="418"/>
    </row>
    <row r="924" spans="3:20" ht="15" hidden="1" outlineLevel="2">
      <c r="C924" s="1464"/>
      <c r="D924" s="1464"/>
      <c r="E924" s="1459"/>
      <c r="F924" s="1462"/>
      <c r="G924" s="343"/>
      <c r="H924" s="340" t="s">
        <v>4</v>
      </c>
      <c r="I924" s="341"/>
      <c r="J924" s="336">
        <f t="shared" si="419"/>
        <v>0</v>
      </c>
      <c r="K924" s="341">
        <v>0</v>
      </c>
      <c r="L924" s="341">
        <v>0</v>
      </c>
      <c r="M924" s="342"/>
      <c r="N924" s="341"/>
      <c r="O924" s="338">
        <f t="shared" si="416"/>
        <v>0</v>
      </c>
      <c r="P924" s="336">
        <f t="shared" si="420"/>
        <v>0</v>
      </c>
      <c r="Q924" s="430">
        <f t="shared" si="420"/>
        <v>0</v>
      </c>
      <c r="T924" s="418"/>
    </row>
    <row r="925" spans="3:20" ht="15" hidden="1" outlineLevel="2">
      <c r="C925" s="1464"/>
      <c r="D925" s="1464"/>
      <c r="E925" s="1459"/>
      <c r="F925" s="1462"/>
      <c r="G925" s="1454" t="s">
        <v>45</v>
      </c>
      <c r="H925" s="1455"/>
      <c r="I925" s="359">
        <f>SUM(I897:I924)</f>
        <v>0</v>
      </c>
      <c r="J925" s="359">
        <f>SUM(J897:J924)</f>
        <v>0</v>
      </c>
      <c r="K925" s="359">
        <f>SUM(K897:K924)</f>
        <v>0</v>
      </c>
      <c r="L925" s="359">
        <f>SUM(L897:L924)</f>
        <v>0</v>
      </c>
      <c r="M925" s="360" t="s">
        <v>43</v>
      </c>
      <c r="N925" s="359">
        <f>SUM(N897:N924)</f>
        <v>0</v>
      </c>
      <c r="O925" s="361">
        <f t="shared" si="416"/>
        <v>0</v>
      </c>
      <c r="P925" s="359">
        <f>SUM(P897:P924)</f>
        <v>0</v>
      </c>
      <c r="Q925" s="435">
        <f>SUM(Q897:Q924)</f>
        <v>0</v>
      </c>
      <c r="T925" s="418"/>
    </row>
    <row r="926" spans="3:20" ht="15" hidden="1" outlineLevel="2">
      <c r="C926" s="1464"/>
      <c r="D926" s="1464"/>
      <c r="E926" s="1459"/>
      <c r="F926" s="1462"/>
      <c r="G926" s="353"/>
      <c r="H926" s="340" t="s">
        <v>29</v>
      </c>
      <c r="I926" s="341"/>
      <c r="J926" s="336"/>
      <c r="K926" s="336"/>
      <c r="L926" s="336"/>
      <c r="M926" s="363"/>
      <c r="N926" s="336"/>
      <c r="O926" s="338">
        <f t="shared" si="416"/>
        <v>0</v>
      </c>
      <c r="P926" s="336"/>
      <c r="Q926" s="430"/>
      <c r="T926" s="418"/>
    </row>
    <row r="927" spans="3:20" ht="15" hidden="1" outlineLevel="2">
      <c r="C927" s="1464"/>
      <c r="D927" s="1464"/>
      <c r="E927" s="1459"/>
      <c r="F927" s="1462"/>
      <c r="G927" s="353"/>
      <c r="H927" s="340" t="s">
        <v>29</v>
      </c>
      <c r="I927" s="341"/>
      <c r="J927" s="336"/>
      <c r="K927" s="336"/>
      <c r="L927" s="336"/>
      <c r="M927" s="363"/>
      <c r="N927" s="336"/>
      <c r="O927" s="338">
        <f t="shared" si="416"/>
        <v>0</v>
      </c>
      <c r="P927" s="336"/>
      <c r="Q927" s="430"/>
      <c r="T927" s="418"/>
    </row>
    <row r="928" spans="3:20" ht="15" hidden="1" outlineLevel="2">
      <c r="C928" s="1464"/>
      <c r="D928" s="1464"/>
      <c r="E928" s="1459"/>
      <c r="F928" s="1462"/>
      <c r="G928" s="353"/>
      <c r="H928" s="340" t="s">
        <v>29</v>
      </c>
      <c r="I928" s="341"/>
      <c r="J928" s="336"/>
      <c r="K928" s="336"/>
      <c r="L928" s="336"/>
      <c r="M928" s="363"/>
      <c r="N928" s="336"/>
      <c r="O928" s="338">
        <f t="shared" si="416"/>
        <v>0</v>
      </c>
      <c r="P928" s="336"/>
      <c r="Q928" s="430"/>
      <c r="T928" s="418"/>
    </row>
    <row r="929" spans="3:20" ht="15" hidden="1" outlineLevel="2">
      <c r="C929" s="1464"/>
      <c r="D929" s="1464"/>
      <c r="E929" s="1459"/>
      <c r="F929" s="1462"/>
      <c r="G929" s="353"/>
      <c r="H929" s="340" t="s">
        <v>29</v>
      </c>
      <c r="I929" s="341"/>
      <c r="J929" s="336"/>
      <c r="K929" s="336"/>
      <c r="L929" s="336"/>
      <c r="M929" s="363"/>
      <c r="N929" s="336"/>
      <c r="O929" s="338">
        <f t="shared" si="416"/>
        <v>0</v>
      </c>
      <c r="P929" s="336"/>
      <c r="Q929" s="430"/>
      <c r="T929" s="418"/>
    </row>
    <row r="930" spans="3:20" ht="15" hidden="1" outlineLevel="2">
      <c r="C930" s="1464"/>
      <c r="D930" s="1464"/>
      <c r="E930" s="1459"/>
      <c r="F930" s="1462"/>
      <c r="G930" s="353"/>
      <c r="H930" s="340" t="s">
        <v>29</v>
      </c>
      <c r="I930" s="341"/>
      <c r="J930" s="336"/>
      <c r="K930" s="336"/>
      <c r="L930" s="336"/>
      <c r="M930" s="363"/>
      <c r="N930" s="336"/>
      <c r="O930" s="338">
        <f t="shared" si="416"/>
        <v>0</v>
      </c>
      <c r="P930" s="336"/>
      <c r="Q930" s="430"/>
      <c r="T930" s="418"/>
    </row>
    <row r="931" spans="3:20" ht="15" hidden="1" outlineLevel="2">
      <c r="C931" s="1464"/>
      <c r="D931" s="1464"/>
      <c r="E931" s="1459"/>
      <c r="F931" s="1462"/>
      <c r="G931" s="353"/>
      <c r="H931" s="340" t="s">
        <v>29</v>
      </c>
      <c r="I931" s="341"/>
      <c r="J931" s="336"/>
      <c r="K931" s="336"/>
      <c r="L931" s="336"/>
      <c r="M931" s="363"/>
      <c r="N931" s="336"/>
      <c r="O931" s="338">
        <f t="shared" si="416"/>
        <v>0</v>
      </c>
      <c r="P931" s="336"/>
      <c r="Q931" s="430"/>
      <c r="T931" s="418"/>
    </row>
    <row r="932" spans="3:20" ht="15" hidden="1" outlineLevel="2">
      <c r="C932" s="1464"/>
      <c r="D932" s="1464"/>
      <c r="E932" s="1459"/>
      <c r="F932" s="1462"/>
      <c r="G932" s="353"/>
      <c r="H932" s="340" t="s">
        <v>29</v>
      </c>
      <c r="I932" s="341"/>
      <c r="J932" s="336"/>
      <c r="K932" s="336"/>
      <c r="L932" s="336"/>
      <c r="M932" s="363"/>
      <c r="N932" s="336"/>
      <c r="O932" s="338">
        <f t="shared" si="416"/>
        <v>0</v>
      </c>
      <c r="P932" s="336"/>
      <c r="Q932" s="430"/>
      <c r="T932" s="418"/>
    </row>
    <row r="933" spans="3:20" ht="15" hidden="1" outlineLevel="2">
      <c r="C933" s="1464"/>
      <c r="D933" s="1464"/>
      <c r="E933" s="1459"/>
      <c r="F933" s="1462"/>
      <c r="G933" s="353"/>
      <c r="H933" s="340" t="s">
        <v>29</v>
      </c>
      <c r="I933" s="341"/>
      <c r="J933" s="336"/>
      <c r="K933" s="336"/>
      <c r="L933" s="336"/>
      <c r="M933" s="363"/>
      <c r="N933" s="336"/>
      <c r="O933" s="338">
        <f t="shared" si="416"/>
        <v>0</v>
      </c>
      <c r="P933" s="336"/>
      <c r="Q933" s="430"/>
      <c r="T933" s="418"/>
    </row>
    <row r="934" spans="3:20" ht="15" hidden="1" outlineLevel="2">
      <c r="C934" s="1464"/>
      <c r="D934" s="1464"/>
      <c r="E934" s="1459"/>
      <c r="F934" s="1462"/>
      <c r="G934" s="353"/>
      <c r="H934" s="340" t="s">
        <v>29</v>
      </c>
      <c r="I934" s="341"/>
      <c r="J934" s="336"/>
      <c r="K934" s="336"/>
      <c r="L934" s="336"/>
      <c r="M934" s="363"/>
      <c r="N934" s="336"/>
      <c r="O934" s="338">
        <f t="shared" si="416"/>
        <v>0</v>
      </c>
      <c r="P934" s="336"/>
      <c r="Q934" s="430"/>
      <c r="T934" s="418"/>
    </row>
    <row r="935" spans="3:20" ht="15" hidden="1" outlineLevel="2">
      <c r="C935" s="1464"/>
      <c r="D935" s="1464"/>
      <c r="E935" s="1459"/>
      <c r="F935" s="1462"/>
      <c r="G935" s="353"/>
      <c r="H935" s="340" t="s">
        <v>29</v>
      </c>
      <c r="I935" s="341"/>
      <c r="J935" s="336"/>
      <c r="K935" s="336"/>
      <c r="L935" s="336"/>
      <c r="M935" s="363"/>
      <c r="N935" s="336"/>
      <c r="O935" s="338">
        <f t="shared" si="416"/>
        <v>0</v>
      </c>
      <c r="P935" s="336"/>
      <c r="Q935" s="430"/>
      <c r="T935" s="418"/>
    </row>
    <row r="936" spans="3:20" ht="15" hidden="1" outlineLevel="2">
      <c r="C936" s="1464"/>
      <c r="D936" s="1464"/>
      <c r="E936" s="1459"/>
      <c r="F936" s="1462"/>
      <c r="G936" s="353"/>
      <c r="H936" s="340" t="s">
        <v>29</v>
      </c>
      <c r="I936" s="341"/>
      <c r="J936" s="336"/>
      <c r="K936" s="336"/>
      <c r="L936" s="336"/>
      <c r="M936" s="363"/>
      <c r="N936" s="336"/>
      <c r="O936" s="338">
        <f t="shared" si="416"/>
        <v>0</v>
      </c>
      <c r="P936" s="336"/>
      <c r="Q936" s="430"/>
      <c r="T936" s="418"/>
    </row>
    <row r="937" spans="3:20" ht="15" hidden="1" outlineLevel="2">
      <c r="C937" s="1464"/>
      <c r="D937" s="1464"/>
      <c r="E937" s="1459"/>
      <c r="F937" s="1462"/>
      <c r="G937" s="353"/>
      <c r="H937" s="340" t="s">
        <v>29</v>
      </c>
      <c r="I937" s="341"/>
      <c r="J937" s="336"/>
      <c r="K937" s="336"/>
      <c r="L937" s="336"/>
      <c r="M937" s="363"/>
      <c r="N937" s="336"/>
      <c r="O937" s="338">
        <f t="shared" si="416"/>
        <v>0</v>
      </c>
      <c r="P937" s="336"/>
      <c r="Q937" s="430"/>
      <c r="T937" s="418"/>
    </row>
    <row r="938" spans="3:20" ht="15" hidden="1" outlineLevel="2">
      <c r="C938" s="1464"/>
      <c r="D938" s="1464"/>
      <c r="E938" s="1459"/>
      <c r="F938" s="1462"/>
      <c r="G938" s="1454" t="s">
        <v>50</v>
      </c>
      <c r="H938" s="1455"/>
      <c r="I938" s="359">
        <f>SUM(I926:I937)</f>
        <v>0</v>
      </c>
      <c r="J938" s="359">
        <f t="shared" ref="J938:K938" si="421">SUM(J926:J937)</f>
        <v>0</v>
      </c>
      <c r="K938" s="359">
        <f t="shared" si="421"/>
        <v>0</v>
      </c>
      <c r="L938" s="359">
        <f t="shared" ref="L938" si="422">SUM(L926:L937)</f>
        <v>0</v>
      </c>
      <c r="M938" s="360" t="s">
        <v>43</v>
      </c>
      <c r="N938" s="359">
        <f>SUM(N926:N937)</f>
        <v>0</v>
      </c>
      <c r="O938" s="361">
        <f t="shared" si="416"/>
        <v>0</v>
      </c>
      <c r="P938" s="359">
        <f t="shared" ref="P938:Q938" si="423">SUM(P926:P937)</f>
        <v>0</v>
      </c>
      <c r="Q938" s="435">
        <f t="shared" si="423"/>
        <v>0</v>
      </c>
      <c r="T938" s="418"/>
    </row>
    <row r="939" spans="3:20" ht="15" hidden="1" outlineLevel="2">
      <c r="C939" s="1464"/>
      <c r="D939" s="1464"/>
      <c r="E939" s="1459"/>
      <c r="F939" s="1462"/>
      <c r="G939" s="353"/>
      <c r="H939" s="340" t="s">
        <v>22</v>
      </c>
      <c r="I939" s="341"/>
      <c r="J939" s="341">
        <v>0</v>
      </c>
      <c r="K939" s="341"/>
      <c r="L939" s="341"/>
      <c r="M939" s="410"/>
      <c r="N939" s="341"/>
      <c r="O939" s="357">
        <f t="shared" si="416"/>
        <v>0</v>
      </c>
      <c r="P939" s="341">
        <v>0</v>
      </c>
      <c r="Q939" s="431">
        <v>0</v>
      </c>
      <c r="T939" s="418"/>
    </row>
    <row r="940" spans="3:20" ht="15" hidden="1" outlineLevel="2">
      <c r="C940" s="1464"/>
      <c r="D940" s="1464"/>
      <c r="E940" s="1459"/>
      <c r="F940" s="1462"/>
      <c r="G940" s="353"/>
      <c r="H940" s="340" t="s">
        <v>22</v>
      </c>
      <c r="I940" s="341"/>
      <c r="J940" s="341">
        <v>0</v>
      </c>
      <c r="K940" s="341"/>
      <c r="L940" s="341"/>
      <c r="M940" s="410"/>
      <c r="N940" s="341"/>
      <c r="O940" s="357">
        <f t="shared" si="416"/>
        <v>0</v>
      </c>
      <c r="P940" s="341">
        <v>0</v>
      </c>
      <c r="Q940" s="431">
        <v>0</v>
      </c>
      <c r="T940" s="418"/>
    </row>
    <row r="941" spans="3:20" ht="15" hidden="1" outlineLevel="2">
      <c r="C941" s="1464"/>
      <c r="D941" s="1464"/>
      <c r="E941" s="1459"/>
      <c r="F941" s="1462"/>
      <c r="G941" s="353"/>
      <c r="H941" s="340" t="s">
        <v>22</v>
      </c>
      <c r="I941" s="341"/>
      <c r="J941" s="341">
        <v>0</v>
      </c>
      <c r="K941" s="341"/>
      <c r="L941" s="341"/>
      <c r="M941" s="410"/>
      <c r="N941" s="341"/>
      <c r="O941" s="357">
        <f t="shared" si="416"/>
        <v>0</v>
      </c>
      <c r="P941" s="341">
        <v>0</v>
      </c>
      <c r="Q941" s="431">
        <v>0</v>
      </c>
      <c r="T941" s="418"/>
    </row>
    <row r="942" spans="3:20" ht="15" hidden="1" outlineLevel="2">
      <c r="C942" s="1464"/>
      <c r="D942" s="1464"/>
      <c r="E942" s="1459"/>
      <c r="F942" s="1462"/>
      <c r="G942" s="353"/>
      <c r="H942" s="340" t="s">
        <v>22</v>
      </c>
      <c r="I942" s="341"/>
      <c r="J942" s="341">
        <v>0</v>
      </c>
      <c r="K942" s="341"/>
      <c r="L942" s="341"/>
      <c r="M942" s="410"/>
      <c r="N942" s="341"/>
      <c r="O942" s="357">
        <f t="shared" si="416"/>
        <v>0</v>
      </c>
      <c r="P942" s="341">
        <v>0</v>
      </c>
      <c r="Q942" s="431">
        <v>0</v>
      </c>
      <c r="T942" s="418"/>
    </row>
    <row r="943" spans="3:20" ht="15" hidden="1" outlineLevel="2">
      <c r="C943" s="1464"/>
      <c r="D943" s="1464"/>
      <c r="E943" s="1459"/>
      <c r="F943" s="1462"/>
      <c r="G943" s="353"/>
      <c r="H943" s="340" t="s">
        <v>22</v>
      </c>
      <c r="I943" s="341"/>
      <c r="J943" s="341">
        <v>0</v>
      </c>
      <c r="K943" s="341"/>
      <c r="L943" s="341"/>
      <c r="M943" s="410"/>
      <c r="N943" s="341"/>
      <c r="O943" s="357">
        <f t="shared" si="416"/>
        <v>0</v>
      </c>
      <c r="P943" s="341">
        <v>0</v>
      </c>
      <c r="Q943" s="431">
        <v>0</v>
      </c>
      <c r="T943" s="418"/>
    </row>
    <row r="944" spans="3:20" ht="15" hidden="1" outlineLevel="2">
      <c r="C944" s="1464"/>
      <c r="D944" s="1464"/>
      <c r="E944" s="1459"/>
      <c r="F944" s="1462"/>
      <c r="G944" s="353"/>
      <c r="H944" s="340" t="s">
        <v>22</v>
      </c>
      <c r="I944" s="341"/>
      <c r="J944" s="341">
        <v>0</v>
      </c>
      <c r="K944" s="341"/>
      <c r="L944" s="341"/>
      <c r="M944" s="410"/>
      <c r="N944" s="341"/>
      <c r="O944" s="357">
        <f t="shared" si="416"/>
        <v>0</v>
      </c>
      <c r="P944" s="341">
        <v>0</v>
      </c>
      <c r="Q944" s="431">
        <v>0</v>
      </c>
      <c r="T944" s="418"/>
    </row>
    <row r="945" spans="3:20" ht="15" hidden="1" outlineLevel="2">
      <c r="C945" s="1464"/>
      <c r="D945" s="1464"/>
      <c r="E945" s="1459"/>
      <c r="F945" s="1462"/>
      <c r="G945" s="353"/>
      <c r="H945" s="340" t="s">
        <v>22</v>
      </c>
      <c r="I945" s="341"/>
      <c r="J945" s="341">
        <v>0</v>
      </c>
      <c r="K945" s="341"/>
      <c r="L945" s="341"/>
      <c r="M945" s="410"/>
      <c r="N945" s="341"/>
      <c r="O945" s="357">
        <f t="shared" si="416"/>
        <v>0</v>
      </c>
      <c r="P945" s="341">
        <v>0</v>
      </c>
      <c r="Q945" s="431">
        <v>0</v>
      </c>
      <c r="T945" s="418"/>
    </row>
    <row r="946" spans="3:20" ht="15" hidden="1" outlineLevel="2">
      <c r="C946" s="1464"/>
      <c r="D946" s="1464"/>
      <c r="E946" s="1459"/>
      <c r="F946" s="1462"/>
      <c r="G946" s="353"/>
      <c r="H946" s="340" t="s">
        <v>22</v>
      </c>
      <c r="I946" s="341"/>
      <c r="J946" s="341">
        <v>0</v>
      </c>
      <c r="K946" s="341"/>
      <c r="L946" s="341"/>
      <c r="M946" s="410"/>
      <c r="N946" s="341"/>
      <c r="O946" s="357">
        <f t="shared" si="416"/>
        <v>0</v>
      </c>
      <c r="P946" s="341">
        <v>0</v>
      </c>
      <c r="Q946" s="431">
        <v>0</v>
      </c>
      <c r="T946" s="418"/>
    </row>
    <row r="947" spans="3:20" ht="15" hidden="1" outlineLevel="2">
      <c r="C947" s="1464"/>
      <c r="D947" s="1464"/>
      <c r="E947" s="1459"/>
      <c r="F947" s="1462"/>
      <c r="G947" s="353"/>
      <c r="H947" s="340" t="s">
        <v>22</v>
      </c>
      <c r="I947" s="341"/>
      <c r="J947" s="341">
        <v>0</v>
      </c>
      <c r="K947" s="341"/>
      <c r="L947" s="341"/>
      <c r="M947" s="410"/>
      <c r="N947" s="341"/>
      <c r="O947" s="357">
        <f t="shared" si="416"/>
        <v>0</v>
      </c>
      <c r="P947" s="341">
        <v>0</v>
      </c>
      <c r="Q947" s="431">
        <v>0</v>
      </c>
      <c r="T947" s="418"/>
    </row>
    <row r="948" spans="3:20" ht="15" hidden="1" outlineLevel="2">
      <c r="C948" s="1464"/>
      <c r="D948" s="1464"/>
      <c r="E948" s="1459"/>
      <c r="F948" s="1462"/>
      <c r="G948" s="353"/>
      <c r="H948" s="340" t="s">
        <v>22</v>
      </c>
      <c r="I948" s="341"/>
      <c r="J948" s="341">
        <v>0</v>
      </c>
      <c r="K948" s="341"/>
      <c r="L948" s="341"/>
      <c r="M948" s="410"/>
      <c r="N948" s="341"/>
      <c r="O948" s="357">
        <f t="shared" si="416"/>
        <v>0</v>
      </c>
      <c r="P948" s="341">
        <v>0</v>
      </c>
      <c r="Q948" s="431">
        <v>0</v>
      </c>
      <c r="T948" s="418"/>
    </row>
    <row r="949" spans="3:20" ht="15" hidden="1" outlineLevel="2">
      <c r="C949" s="1464"/>
      <c r="D949" s="1464"/>
      <c r="E949" s="1459"/>
      <c r="F949" s="1462"/>
      <c r="G949" s="353"/>
      <c r="H949" s="340" t="s">
        <v>22</v>
      </c>
      <c r="I949" s="341"/>
      <c r="J949" s="341">
        <v>0</v>
      </c>
      <c r="K949" s="341"/>
      <c r="L949" s="341"/>
      <c r="M949" s="410"/>
      <c r="N949" s="341"/>
      <c r="O949" s="357">
        <f t="shared" si="416"/>
        <v>0</v>
      </c>
      <c r="P949" s="341">
        <v>0</v>
      </c>
      <c r="Q949" s="431">
        <v>0</v>
      </c>
      <c r="T949" s="418"/>
    </row>
    <row r="950" spans="3:20" ht="15" hidden="1" outlineLevel="2">
      <c r="C950" s="1464"/>
      <c r="D950" s="1464"/>
      <c r="E950" s="1459"/>
      <c r="F950" s="1462"/>
      <c r="G950" s="353"/>
      <c r="H950" s="340" t="s">
        <v>22</v>
      </c>
      <c r="I950" s="341"/>
      <c r="J950" s="341">
        <v>0</v>
      </c>
      <c r="K950" s="341"/>
      <c r="L950" s="341"/>
      <c r="M950" s="410"/>
      <c r="N950" s="341"/>
      <c r="O950" s="357">
        <f t="shared" si="416"/>
        <v>0</v>
      </c>
      <c r="P950" s="341">
        <v>0</v>
      </c>
      <c r="Q950" s="431">
        <v>0</v>
      </c>
      <c r="T950" s="418"/>
    </row>
    <row r="951" spans="3:20" ht="15" hidden="1" outlineLevel="2">
      <c r="C951" s="1464"/>
      <c r="D951" s="1464"/>
      <c r="E951" s="1459"/>
      <c r="F951" s="1462"/>
      <c r="G951" s="353"/>
      <c r="H951" s="340" t="s">
        <v>22</v>
      </c>
      <c r="I951" s="341"/>
      <c r="J951" s="341">
        <v>0</v>
      </c>
      <c r="K951" s="341"/>
      <c r="L951" s="341"/>
      <c r="M951" s="410"/>
      <c r="N951" s="341"/>
      <c r="O951" s="357">
        <f t="shared" si="416"/>
        <v>0</v>
      </c>
      <c r="P951" s="341">
        <v>0</v>
      </c>
      <c r="Q951" s="431">
        <v>0</v>
      </c>
      <c r="T951" s="418"/>
    </row>
    <row r="952" spans="3:20" ht="15" hidden="1" outlineLevel="2">
      <c r="C952" s="1464"/>
      <c r="D952" s="1464"/>
      <c r="E952" s="1459"/>
      <c r="F952" s="1462"/>
      <c r="G952" s="353"/>
      <c r="H952" s="340" t="s">
        <v>22</v>
      </c>
      <c r="I952" s="341"/>
      <c r="J952" s="341">
        <v>0</v>
      </c>
      <c r="K952" s="341"/>
      <c r="L952" s="341"/>
      <c r="M952" s="410"/>
      <c r="N952" s="341"/>
      <c r="O952" s="357">
        <f t="shared" si="416"/>
        <v>0</v>
      </c>
      <c r="P952" s="341">
        <v>0</v>
      </c>
      <c r="Q952" s="431">
        <v>0</v>
      </c>
      <c r="T952" s="418"/>
    </row>
    <row r="953" spans="3:20" ht="15" hidden="1" outlineLevel="2">
      <c r="C953" s="1464"/>
      <c r="D953" s="1464"/>
      <c r="E953" s="1459"/>
      <c r="F953" s="1462"/>
      <c r="G953" s="353"/>
      <c r="H953" s="340" t="s">
        <v>22</v>
      </c>
      <c r="I953" s="341"/>
      <c r="J953" s="341">
        <v>0</v>
      </c>
      <c r="K953" s="341"/>
      <c r="L953" s="341"/>
      <c r="M953" s="410"/>
      <c r="N953" s="341"/>
      <c r="O953" s="357">
        <f t="shared" si="416"/>
        <v>0</v>
      </c>
      <c r="P953" s="341">
        <v>0</v>
      </c>
      <c r="Q953" s="431">
        <v>0</v>
      </c>
      <c r="T953" s="418"/>
    </row>
    <row r="954" spans="3:20" ht="15" hidden="1" outlineLevel="2">
      <c r="C954" s="1464"/>
      <c r="D954" s="1464"/>
      <c r="E954" s="1459"/>
      <c r="F954" s="1462"/>
      <c r="G954" s="353"/>
      <c r="H954" s="340" t="s">
        <v>22</v>
      </c>
      <c r="I954" s="341"/>
      <c r="J954" s="341">
        <v>0</v>
      </c>
      <c r="K954" s="341"/>
      <c r="L954" s="341"/>
      <c r="M954" s="410"/>
      <c r="N954" s="341"/>
      <c r="O954" s="357">
        <f t="shared" si="416"/>
        <v>0</v>
      </c>
      <c r="P954" s="341">
        <v>0</v>
      </c>
      <c r="Q954" s="431">
        <v>0</v>
      </c>
      <c r="T954" s="418"/>
    </row>
    <row r="955" spans="3:20" ht="15" hidden="1" outlineLevel="2">
      <c r="C955" s="1464"/>
      <c r="D955" s="1464"/>
      <c r="E955" s="1459"/>
      <c r="F955" s="1462"/>
      <c r="G955" s="353"/>
      <c r="H955" s="340" t="s">
        <v>22</v>
      </c>
      <c r="I955" s="341"/>
      <c r="J955" s="341">
        <v>0</v>
      </c>
      <c r="K955" s="341"/>
      <c r="L955" s="341"/>
      <c r="M955" s="410"/>
      <c r="N955" s="341"/>
      <c r="O955" s="357">
        <f t="shared" si="416"/>
        <v>0</v>
      </c>
      <c r="P955" s="341">
        <v>0</v>
      </c>
      <c r="Q955" s="431">
        <v>0</v>
      </c>
      <c r="T955" s="418"/>
    </row>
    <row r="956" spans="3:20" ht="15" hidden="1" outlineLevel="2">
      <c r="C956" s="1464"/>
      <c r="D956" s="1464"/>
      <c r="E956" s="1459"/>
      <c r="F956" s="1462"/>
      <c r="G956" s="353"/>
      <c r="H956" s="340" t="s">
        <v>22</v>
      </c>
      <c r="I956" s="341"/>
      <c r="J956" s="341">
        <v>0</v>
      </c>
      <c r="K956" s="341"/>
      <c r="L956" s="341"/>
      <c r="M956" s="410"/>
      <c r="N956" s="341"/>
      <c r="O956" s="357">
        <f t="shared" si="416"/>
        <v>0</v>
      </c>
      <c r="P956" s="341">
        <v>0</v>
      </c>
      <c r="Q956" s="431">
        <v>0</v>
      </c>
      <c r="T956" s="418"/>
    </row>
    <row r="957" spans="3:20" ht="15" hidden="1" outlineLevel="2">
      <c r="C957" s="1464"/>
      <c r="D957" s="1464"/>
      <c r="E957" s="1459"/>
      <c r="F957" s="1462"/>
      <c r="G957" s="353"/>
      <c r="H957" s="340" t="s">
        <v>22</v>
      </c>
      <c r="I957" s="341"/>
      <c r="J957" s="341">
        <v>0</v>
      </c>
      <c r="K957" s="341"/>
      <c r="L957" s="341"/>
      <c r="M957" s="410"/>
      <c r="N957" s="341"/>
      <c r="O957" s="357">
        <f t="shared" si="416"/>
        <v>0</v>
      </c>
      <c r="P957" s="341">
        <v>0</v>
      </c>
      <c r="Q957" s="431">
        <v>0</v>
      </c>
      <c r="T957" s="418"/>
    </row>
    <row r="958" spans="3:20" ht="15" hidden="1" outlineLevel="2">
      <c r="C958" s="1464"/>
      <c r="D958" s="1464"/>
      <c r="E958" s="1459"/>
      <c r="F958" s="1462"/>
      <c r="G958" s="1454" t="s">
        <v>44</v>
      </c>
      <c r="H958" s="1455"/>
      <c r="I958" s="365">
        <f>SUM(I939:I957)</f>
        <v>0</v>
      </c>
      <c r="J958" s="365">
        <f t="shared" ref="J958:K958" si="424">SUM(J939:J957)</f>
        <v>0</v>
      </c>
      <c r="K958" s="365">
        <f t="shared" si="424"/>
        <v>0</v>
      </c>
      <c r="L958" s="365">
        <f t="shared" ref="L958" si="425">SUM(L939:L957)</f>
        <v>0</v>
      </c>
      <c r="M958" s="366" t="s">
        <v>43</v>
      </c>
      <c r="N958" s="365">
        <f t="shared" ref="N958" si="426">SUM(N939:N957)</f>
        <v>0</v>
      </c>
      <c r="O958" s="361">
        <f t="shared" si="416"/>
        <v>0</v>
      </c>
      <c r="P958" s="365">
        <f t="shared" ref="P958:Q958" si="427">SUM(P939:P957)</f>
        <v>0</v>
      </c>
      <c r="Q958" s="436">
        <f t="shared" si="427"/>
        <v>0</v>
      </c>
      <c r="T958" s="418"/>
    </row>
    <row r="959" spans="3:20" ht="15" hidden="1" outlineLevel="2">
      <c r="C959" s="1464"/>
      <c r="D959" s="1464"/>
      <c r="E959" s="1459"/>
      <c r="F959" s="1462"/>
      <c r="G959" s="343"/>
      <c r="H959" s="335" t="s">
        <v>4</v>
      </c>
      <c r="I959" s="336">
        <f>I925</f>
        <v>0</v>
      </c>
      <c r="J959" s="336">
        <f>J925</f>
        <v>0</v>
      </c>
      <c r="K959" s="336">
        <f>K925</f>
        <v>0</v>
      </c>
      <c r="L959" s="336">
        <f>L925</f>
        <v>0</v>
      </c>
      <c r="M959" s="337" t="s">
        <v>49</v>
      </c>
      <c r="N959" s="336">
        <f>N925</f>
        <v>0</v>
      </c>
      <c r="O959" s="338">
        <f t="shared" si="416"/>
        <v>0</v>
      </c>
      <c r="P959" s="336">
        <f>P925</f>
        <v>0</v>
      </c>
      <c r="Q959" s="430">
        <f>Q925</f>
        <v>0</v>
      </c>
      <c r="T959" s="418"/>
    </row>
    <row r="960" spans="3:20" ht="15" hidden="1" outlineLevel="2">
      <c r="C960" s="1464"/>
      <c r="D960" s="1464"/>
      <c r="E960" s="1459"/>
      <c r="F960" s="1462"/>
      <c r="G960" s="350"/>
      <c r="H960" s="335" t="s">
        <v>29</v>
      </c>
      <c r="I960" s="336">
        <f>I938</f>
        <v>0</v>
      </c>
      <c r="J960" s="336">
        <f t="shared" ref="J960:N960" si="428">J938</f>
        <v>0</v>
      </c>
      <c r="K960" s="336">
        <f t="shared" si="428"/>
        <v>0</v>
      </c>
      <c r="L960" s="336">
        <f t="shared" ref="L960" si="429">L938</f>
        <v>0</v>
      </c>
      <c r="M960" s="336" t="str">
        <f t="shared" si="428"/>
        <v>Cash Security</v>
      </c>
      <c r="N960" s="336">
        <f t="shared" si="428"/>
        <v>0</v>
      </c>
      <c r="O960" s="338">
        <f t="shared" ref="O960:O1023" si="430">IF(N960=0,0,N960/J960)</f>
        <v>0</v>
      </c>
      <c r="P960" s="336">
        <f t="shared" ref="P960:Q960" si="431">P938</f>
        <v>0</v>
      </c>
      <c r="Q960" s="430">
        <f t="shared" si="431"/>
        <v>0</v>
      </c>
      <c r="T960" s="418"/>
    </row>
    <row r="961" spans="3:20" ht="15" hidden="1" outlineLevel="2">
      <c r="C961" s="1464"/>
      <c r="D961" s="1464"/>
      <c r="E961" s="1459"/>
      <c r="F961" s="1462"/>
      <c r="G961" s="350"/>
      <c r="H961" s="340" t="s">
        <v>22</v>
      </c>
      <c r="I961" s="336">
        <f>I958</f>
        <v>0</v>
      </c>
      <c r="J961" s="336">
        <f t="shared" ref="J961:N961" si="432">J958</f>
        <v>0</v>
      </c>
      <c r="K961" s="336">
        <f t="shared" si="432"/>
        <v>0</v>
      </c>
      <c r="L961" s="336">
        <f t="shared" ref="L961" si="433">L958</f>
        <v>0</v>
      </c>
      <c r="M961" s="336" t="str">
        <f t="shared" si="432"/>
        <v>Cash Security</v>
      </c>
      <c r="N961" s="336">
        <f t="shared" si="432"/>
        <v>0</v>
      </c>
      <c r="O961" s="338">
        <f t="shared" si="430"/>
        <v>0</v>
      </c>
      <c r="P961" s="336">
        <f t="shared" ref="P961:Q961" si="434">P958</f>
        <v>0</v>
      </c>
      <c r="Q961" s="430">
        <f t="shared" si="434"/>
        <v>0</v>
      </c>
      <c r="T961" s="418"/>
    </row>
    <row r="962" spans="3:20" ht="15" hidden="1" outlineLevel="1" collapsed="1">
      <c r="C962" s="1464"/>
      <c r="D962" s="1464"/>
      <c r="E962" s="1459"/>
      <c r="F962" s="1463"/>
      <c r="G962" s="1454" t="s">
        <v>177</v>
      </c>
      <c r="H962" s="1455"/>
      <c r="I962" s="359">
        <f>(I959/usdrate)+(I960*eurrate)+I961</f>
        <v>0</v>
      </c>
      <c r="J962" s="359">
        <f>(J959/usdrate)+(J960*eurrate)+J961</f>
        <v>0</v>
      </c>
      <c r="K962" s="359">
        <f>(K959/usdrate)+(K960*eurrate)+K961</f>
        <v>0</v>
      </c>
      <c r="L962" s="359">
        <f>(L959/usdrate)+(L960*eurrate)+L961</f>
        <v>0</v>
      </c>
      <c r="M962" s="360" t="s">
        <v>178</v>
      </c>
      <c r="N962" s="359">
        <f>(N959/usdrate)+(N960*eurrate)+N961</f>
        <v>0</v>
      </c>
      <c r="O962" s="367">
        <f t="shared" si="430"/>
        <v>0</v>
      </c>
      <c r="P962" s="359">
        <f>(P959/usdrate)+(P960*eurrate)+P961</f>
        <v>0</v>
      </c>
      <c r="Q962" s="435">
        <f>(Q959/usdrate)+(Q960*eurrate)+Q961</f>
        <v>0</v>
      </c>
      <c r="T962" s="418"/>
    </row>
    <row r="963" spans="3:20" ht="15" hidden="1" outlineLevel="2">
      <c r="C963" s="1464"/>
      <c r="D963" s="1464"/>
      <c r="E963" s="1459"/>
      <c r="F963" s="1461" t="s">
        <v>174</v>
      </c>
      <c r="G963" s="368"/>
      <c r="H963" s="335" t="s">
        <v>4</v>
      </c>
      <c r="I963" s="336"/>
      <c r="J963" s="336"/>
      <c r="K963" s="336"/>
      <c r="L963" s="336"/>
      <c r="M963" s="363"/>
      <c r="N963" s="336"/>
      <c r="O963" s="338">
        <f t="shared" si="430"/>
        <v>0</v>
      </c>
      <c r="P963" s="336"/>
      <c r="Q963" s="430"/>
      <c r="T963" s="418"/>
    </row>
    <row r="964" spans="3:20" ht="15" hidden="1" outlineLevel="2">
      <c r="C964" s="1464"/>
      <c r="D964" s="1464"/>
      <c r="E964" s="1459"/>
      <c r="F964" s="1462"/>
      <c r="G964" s="368"/>
      <c r="H964" s="335" t="s">
        <v>4</v>
      </c>
      <c r="I964" s="336"/>
      <c r="J964" s="336"/>
      <c r="K964" s="336"/>
      <c r="L964" s="336"/>
      <c r="M964" s="363"/>
      <c r="N964" s="336"/>
      <c r="O964" s="338">
        <f t="shared" si="430"/>
        <v>0</v>
      </c>
      <c r="P964" s="336"/>
      <c r="Q964" s="430"/>
      <c r="T964" s="418"/>
    </row>
    <row r="965" spans="3:20" ht="15" hidden="1" outlineLevel="2">
      <c r="C965" s="1464"/>
      <c r="D965" s="1464"/>
      <c r="E965" s="1459"/>
      <c r="F965" s="1462"/>
      <c r="G965" s="368"/>
      <c r="H965" s="335" t="s">
        <v>4</v>
      </c>
      <c r="I965" s="336"/>
      <c r="J965" s="336"/>
      <c r="K965" s="336"/>
      <c r="L965" s="336"/>
      <c r="M965" s="363"/>
      <c r="N965" s="336"/>
      <c r="O965" s="338">
        <f t="shared" si="430"/>
        <v>0</v>
      </c>
      <c r="P965" s="336"/>
      <c r="Q965" s="430"/>
      <c r="T965" s="418"/>
    </row>
    <row r="966" spans="3:20" ht="15" hidden="1" outlineLevel="2">
      <c r="C966" s="1464"/>
      <c r="D966" s="1464"/>
      <c r="E966" s="1459"/>
      <c r="F966" s="1462"/>
      <c r="G966" s="368"/>
      <c r="H966" s="335" t="s">
        <v>4</v>
      </c>
      <c r="I966" s="336"/>
      <c r="J966" s="336"/>
      <c r="K966" s="336"/>
      <c r="L966" s="336"/>
      <c r="M966" s="363"/>
      <c r="N966" s="336"/>
      <c r="O966" s="338">
        <f t="shared" si="430"/>
        <v>0</v>
      </c>
      <c r="P966" s="336"/>
      <c r="Q966" s="430"/>
      <c r="T966" s="418"/>
    </row>
    <row r="967" spans="3:20" ht="15" hidden="1" outlineLevel="2">
      <c r="C967" s="1464"/>
      <c r="D967" s="1464"/>
      <c r="E967" s="1459"/>
      <c r="F967" s="1462"/>
      <c r="G967" s="368"/>
      <c r="H967" s="335" t="s">
        <v>4</v>
      </c>
      <c r="I967" s="336"/>
      <c r="J967" s="336"/>
      <c r="K967" s="336"/>
      <c r="L967" s="336"/>
      <c r="M967" s="363"/>
      <c r="N967" s="336"/>
      <c r="O967" s="338">
        <f t="shared" si="430"/>
        <v>0</v>
      </c>
      <c r="P967" s="336"/>
      <c r="Q967" s="430"/>
      <c r="T967" s="418"/>
    </row>
    <row r="968" spans="3:20" ht="15" hidden="1" outlineLevel="2">
      <c r="C968" s="1464"/>
      <c r="D968" s="1464"/>
      <c r="E968" s="1459"/>
      <c r="F968" s="1462"/>
      <c r="G968" s="368"/>
      <c r="H968" s="335" t="s">
        <v>4</v>
      </c>
      <c r="I968" s="336"/>
      <c r="J968" s="336"/>
      <c r="K968" s="336"/>
      <c r="L968" s="336"/>
      <c r="M968" s="363"/>
      <c r="N968" s="336"/>
      <c r="O968" s="338">
        <f t="shared" si="430"/>
        <v>0</v>
      </c>
      <c r="P968" s="336"/>
      <c r="Q968" s="430"/>
      <c r="T968" s="418"/>
    </row>
    <row r="969" spans="3:20" ht="15" hidden="1" outlineLevel="2">
      <c r="C969" s="1464"/>
      <c r="D969" s="1464"/>
      <c r="E969" s="1459"/>
      <c r="F969" s="1462"/>
      <c r="G969" s="368"/>
      <c r="H969" s="335" t="s">
        <v>4</v>
      </c>
      <c r="I969" s="336"/>
      <c r="J969" s="336"/>
      <c r="K969" s="336"/>
      <c r="L969" s="336"/>
      <c r="M969" s="363"/>
      <c r="N969" s="336"/>
      <c r="O969" s="338">
        <f t="shared" si="430"/>
        <v>0</v>
      </c>
      <c r="P969" s="336"/>
      <c r="Q969" s="430"/>
      <c r="T969" s="418"/>
    </row>
    <row r="970" spans="3:20" ht="15" hidden="1" outlineLevel="2">
      <c r="C970" s="1464"/>
      <c r="D970" s="1464"/>
      <c r="E970" s="1459"/>
      <c r="F970" s="1462"/>
      <c r="G970" s="368"/>
      <c r="H970" s="335" t="s">
        <v>4</v>
      </c>
      <c r="I970" s="336"/>
      <c r="J970" s="336"/>
      <c r="K970" s="336"/>
      <c r="L970" s="336"/>
      <c r="M970" s="363"/>
      <c r="N970" s="336"/>
      <c r="O970" s="338">
        <f t="shared" si="430"/>
        <v>0</v>
      </c>
      <c r="P970" s="336"/>
      <c r="Q970" s="430"/>
      <c r="T970" s="418"/>
    </row>
    <row r="971" spans="3:20" ht="15" hidden="1" outlineLevel="2">
      <c r="C971" s="1464"/>
      <c r="D971" s="1464"/>
      <c r="E971" s="1459"/>
      <c r="F971" s="1462"/>
      <c r="G971" s="368"/>
      <c r="H971" s="335" t="s">
        <v>4</v>
      </c>
      <c r="I971" s="336"/>
      <c r="J971" s="336"/>
      <c r="K971" s="336"/>
      <c r="L971" s="336"/>
      <c r="M971" s="363"/>
      <c r="N971" s="336"/>
      <c r="O971" s="338">
        <f t="shared" si="430"/>
        <v>0</v>
      </c>
      <c r="P971" s="336"/>
      <c r="Q971" s="430"/>
      <c r="T971" s="418"/>
    </row>
    <row r="972" spans="3:20" ht="15" hidden="1" outlineLevel="2">
      <c r="C972" s="1464"/>
      <c r="D972" s="1464"/>
      <c r="E972" s="1459"/>
      <c r="F972" s="1462"/>
      <c r="G972" s="368"/>
      <c r="H972" s="335" t="s">
        <v>4</v>
      </c>
      <c r="I972" s="336"/>
      <c r="J972" s="336"/>
      <c r="K972" s="336"/>
      <c r="L972" s="336"/>
      <c r="M972" s="363"/>
      <c r="N972" s="336"/>
      <c r="O972" s="338">
        <f t="shared" si="430"/>
        <v>0</v>
      </c>
      <c r="P972" s="336"/>
      <c r="Q972" s="430"/>
      <c r="T972" s="418"/>
    </row>
    <row r="973" spans="3:20" ht="15" hidden="1" outlineLevel="2">
      <c r="C973" s="1464"/>
      <c r="D973" s="1464"/>
      <c r="E973" s="1459"/>
      <c r="F973" s="1462"/>
      <c r="G973" s="368"/>
      <c r="H973" s="335" t="s">
        <v>4</v>
      </c>
      <c r="I973" s="336"/>
      <c r="J973" s="336"/>
      <c r="K973" s="336"/>
      <c r="L973" s="336"/>
      <c r="M973" s="363"/>
      <c r="N973" s="336"/>
      <c r="O973" s="338">
        <f t="shared" si="430"/>
        <v>0</v>
      </c>
      <c r="P973" s="336"/>
      <c r="Q973" s="430"/>
      <c r="T973" s="418"/>
    </row>
    <row r="974" spans="3:20" ht="15" hidden="1" outlineLevel="2">
      <c r="C974" s="1464"/>
      <c r="D974" s="1464"/>
      <c r="E974" s="1459"/>
      <c r="F974" s="1462"/>
      <c r="G974" s="368"/>
      <c r="H974" s="335" t="s">
        <v>4</v>
      </c>
      <c r="I974" s="336"/>
      <c r="J974" s="336"/>
      <c r="K974" s="336"/>
      <c r="L974" s="336"/>
      <c r="M974" s="363"/>
      <c r="N974" s="336"/>
      <c r="O974" s="338">
        <f t="shared" si="430"/>
        <v>0</v>
      </c>
      <c r="P974" s="336"/>
      <c r="Q974" s="430"/>
      <c r="T974" s="418"/>
    </row>
    <row r="975" spans="3:20" ht="15" hidden="1" outlineLevel="2">
      <c r="C975" s="1464"/>
      <c r="D975" s="1464"/>
      <c r="E975" s="1459"/>
      <c r="F975" s="1462"/>
      <c r="G975" s="368"/>
      <c r="H975" s="335" t="s">
        <v>4</v>
      </c>
      <c r="I975" s="336"/>
      <c r="J975" s="336"/>
      <c r="K975" s="336"/>
      <c r="L975" s="336"/>
      <c r="M975" s="363"/>
      <c r="N975" s="336"/>
      <c r="O975" s="338">
        <f t="shared" si="430"/>
        <v>0</v>
      </c>
      <c r="P975" s="336"/>
      <c r="Q975" s="430"/>
      <c r="T975" s="418"/>
    </row>
    <row r="976" spans="3:20" ht="15" hidden="1" outlineLevel="2">
      <c r="C976" s="1464"/>
      <c r="D976" s="1464"/>
      <c r="E976" s="1459"/>
      <c r="F976" s="1462"/>
      <c r="G976" s="368"/>
      <c r="H976" s="335" t="s">
        <v>4</v>
      </c>
      <c r="I976" s="336"/>
      <c r="J976" s="336"/>
      <c r="K976" s="336"/>
      <c r="L976" s="336"/>
      <c r="M976" s="363"/>
      <c r="N976" s="336"/>
      <c r="O976" s="338">
        <f t="shared" si="430"/>
        <v>0</v>
      </c>
      <c r="P976" s="336"/>
      <c r="Q976" s="430"/>
      <c r="T976" s="418"/>
    </row>
    <row r="977" spans="3:20" ht="15" hidden="1" outlineLevel="2">
      <c r="C977" s="1464"/>
      <c r="D977" s="1464"/>
      <c r="E977" s="1459"/>
      <c r="F977" s="1462"/>
      <c r="G977" s="368"/>
      <c r="H977" s="335" t="s">
        <v>4</v>
      </c>
      <c r="I977" s="336"/>
      <c r="J977" s="336"/>
      <c r="K977" s="336"/>
      <c r="L977" s="336"/>
      <c r="M977" s="363"/>
      <c r="N977" s="336"/>
      <c r="O977" s="338">
        <f t="shared" si="430"/>
        <v>0</v>
      </c>
      <c r="P977" s="336"/>
      <c r="Q977" s="430"/>
      <c r="T977" s="418"/>
    </row>
    <row r="978" spans="3:20" ht="15" hidden="1" outlineLevel="2">
      <c r="C978" s="1464"/>
      <c r="D978" s="1464"/>
      <c r="E978" s="1459"/>
      <c r="F978" s="1462"/>
      <c r="G978" s="368"/>
      <c r="H978" s="335" t="s">
        <v>4</v>
      </c>
      <c r="I978" s="336"/>
      <c r="J978" s="336"/>
      <c r="K978" s="336"/>
      <c r="L978" s="336"/>
      <c r="M978" s="363"/>
      <c r="N978" s="336"/>
      <c r="O978" s="338">
        <f t="shared" si="430"/>
        <v>0</v>
      </c>
      <c r="P978" s="336"/>
      <c r="Q978" s="430"/>
      <c r="T978" s="418"/>
    </row>
    <row r="979" spans="3:20" ht="15" hidden="1" outlineLevel="2">
      <c r="C979" s="1464"/>
      <c r="D979" s="1464"/>
      <c r="E979" s="1459"/>
      <c r="F979" s="1462"/>
      <c r="G979" s="368"/>
      <c r="H979" s="335" t="s">
        <v>4</v>
      </c>
      <c r="I979" s="336"/>
      <c r="J979" s="336"/>
      <c r="K979" s="336"/>
      <c r="L979" s="336"/>
      <c r="M979" s="363"/>
      <c r="N979" s="336"/>
      <c r="O979" s="338">
        <f t="shared" si="430"/>
        <v>0</v>
      </c>
      <c r="P979" s="336"/>
      <c r="Q979" s="430"/>
      <c r="T979" s="418"/>
    </row>
    <row r="980" spans="3:20" ht="15" hidden="1" outlineLevel="2">
      <c r="C980" s="1464"/>
      <c r="D980" s="1464"/>
      <c r="E980" s="1459"/>
      <c r="F980" s="1462"/>
      <c r="G980" s="368"/>
      <c r="H980" s="335" t="s">
        <v>4</v>
      </c>
      <c r="I980" s="336"/>
      <c r="J980" s="336"/>
      <c r="K980" s="336"/>
      <c r="L980" s="336"/>
      <c r="M980" s="363"/>
      <c r="N980" s="336"/>
      <c r="O980" s="338">
        <f t="shared" si="430"/>
        <v>0</v>
      </c>
      <c r="P980" s="336"/>
      <c r="Q980" s="430"/>
      <c r="T980" s="418"/>
    </row>
    <row r="981" spans="3:20" ht="15" hidden="1" outlineLevel="2">
      <c r="C981" s="1464"/>
      <c r="D981" s="1464"/>
      <c r="E981" s="1459"/>
      <c r="F981" s="1462"/>
      <c r="G981" s="368"/>
      <c r="H981" s="335" t="s">
        <v>4</v>
      </c>
      <c r="I981" s="336"/>
      <c r="J981" s="336"/>
      <c r="K981" s="336"/>
      <c r="L981" s="336"/>
      <c r="M981" s="363"/>
      <c r="N981" s="336"/>
      <c r="O981" s="338">
        <f t="shared" si="430"/>
        <v>0</v>
      </c>
      <c r="P981" s="336"/>
      <c r="Q981" s="430"/>
      <c r="T981" s="418"/>
    </row>
    <row r="982" spans="3:20" ht="15" hidden="1" outlineLevel="2">
      <c r="C982" s="1464"/>
      <c r="D982" s="1464"/>
      <c r="E982" s="1459"/>
      <c r="F982" s="1462"/>
      <c r="G982" s="368"/>
      <c r="H982" s="335" t="s">
        <v>4</v>
      </c>
      <c r="I982" s="336"/>
      <c r="J982" s="336"/>
      <c r="K982" s="336"/>
      <c r="L982" s="336"/>
      <c r="M982" s="363"/>
      <c r="N982" s="336"/>
      <c r="O982" s="338">
        <f t="shared" si="430"/>
        <v>0</v>
      </c>
      <c r="P982" s="336"/>
      <c r="Q982" s="430"/>
      <c r="T982" s="418"/>
    </row>
    <row r="983" spans="3:20" ht="15" hidden="1" outlineLevel="2">
      <c r="C983" s="1464"/>
      <c r="D983" s="1464"/>
      <c r="E983" s="1459"/>
      <c r="F983" s="1462"/>
      <c r="G983" s="368"/>
      <c r="H983" s="335" t="s">
        <v>4</v>
      </c>
      <c r="I983" s="336"/>
      <c r="J983" s="336"/>
      <c r="K983" s="336"/>
      <c r="L983" s="336"/>
      <c r="M983" s="363"/>
      <c r="N983" s="336"/>
      <c r="O983" s="338">
        <f t="shared" si="430"/>
        <v>0</v>
      </c>
      <c r="P983" s="336"/>
      <c r="Q983" s="430"/>
      <c r="T983" s="418"/>
    </row>
    <row r="984" spans="3:20" ht="15" hidden="1" outlineLevel="2">
      <c r="C984" s="1464"/>
      <c r="D984" s="1464"/>
      <c r="E984" s="1459"/>
      <c r="F984" s="1462"/>
      <c r="G984" s="368"/>
      <c r="H984" s="335" t="s">
        <v>4</v>
      </c>
      <c r="I984" s="336"/>
      <c r="J984" s="336"/>
      <c r="K984" s="336"/>
      <c r="L984" s="336"/>
      <c r="M984" s="363"/>
      <c r="N984" s="336"/>
      <c r="O984" s="338">
        <f t="shared" si="430"/>
        <v>0</v>
      </c>
      <c r="P984" s="336"/>
      <c r="Q984" s="430"/>
      <c r="T984" s="418"/>
    </row>
    <row r="985" spans="3:20" ht="15" hidden="1" outlineLevel="2">
      <c r="C985" s="1464"/>
      <c r="D985" s="1464"/>
      <c r="E985" s="1459"/>
      <c r="F985" s="1462"/>
      <c r="G985" s="368"/>
      <c r="H985" s="335" t="s">
        <v>4</v>
      </c>
      <c r="I985" s="336"/>
      <c r="J985" s="336"/>
      <c r="K985" s="336"/>
      <c r="L985" s="336"/>
      <c r="M985" s="363"/>
      <c r="N985" s="336"/>
      <c r="O985" s="338">
        <f t="shared" si="430"/>
        <v>0</v>
      </c>
      <c r="P985" s="336"/>
      <c r="Q985" s="430"/>
      <c r="T985" s="418"/>
    </row>
    <row r="986" spans="3:20" ht="15" hidden="1" outlineLevel="2">
      <c r="C986" s="1464"/>
      <c r="D986" s="1464"/>
      <c r="E986" s="1459"/>
      <c r="F986" s="1462"/>
      <c r="G986" s="368"/>
      <c r="H986" s="335" t="s">
        <v>4</v>
      </c>
      <c r="I986" s="336"/>
      <c r="J986" s="336"/>
      <c r="K986" s="336"/>
      <c r="L986" s="336"/>
      <c r="M986" s="363"/>
      <c r="N986" s="336"/>
      <c r="O986" s="338">
        <f t="shared" si="430"/>
        <v>0</v>
      </c>
      <c r="P986" s="336"/>
      <c r="Q986" s="430"/>
      <c r="T986" s="418"/>
    </row>
    <row r="987" spans="3:20" ht="15" hidden="1" outlineLevel="2">
      <c r="C987" s="1464"/>
      <c r="D987" s="1464"/>
      <c r="E987" s="1459"/>
      <c r="F987" s="1462"/>
      <c r="G987" s="368"/>
      <c r="H987" s="335" t="s">
        <v>4</v>
      </c>
      <c r="I987" s="336"/>
      <c r="J987" s="336"/>
      <c r="K987" s="336"/>
      <c r="L987" s="336"/>
      <c r="M987" s="363"/>
      <c r="N987" s="336"/>
      <c r="O987" s="338">
        <f t="shared" si="430"/>
        <v>0</v>
      </c>
      <c r="P987" s="336"/>
      <c r="Q987" s="430"/>
      <c r="T987" s="418"/>
    </row>
    <row r="988" spans="3:20" ht="15" hidden="1" outlineLevel="2">
      <c r="C988" s="1464"/>
      <c r="D988" s="1464"/>
      <c r="E988" s="1459"/>
      <c r="F988" s="1462"/>
      <c r="G988" s="368"/>
      <c r="H988" s="335" t="s">
        <v>4</v>
      </c>
      <c r="I988" s="336"/>
      <c r="J988" s="336"/>
      <c r="K988" s="336"/>
      <c r="L988" s="336"/>
      <c r="M988" s="363"/>
      <c r="N988" s="336"/>
      <c r="O988" s="338">
        <f t="shared" si="430"/>
        <v>0</v>
      </c>
      <c r="P988" s="336"/>
      <c r="Q988" s="430"/>
      <c r="T988" s="418"/>
    </row>
    <row r="989" spans="3:20" ht="15" hidden="1" outlineLevel="2">
      <c r="C989" s="1464"/>
      <c r="D989" s="1464"/>
      <c r="E989" s="1459"/>
      <c r="F989" s="1462"/>
      <c r="G989" s="368"/>
      <c r="H989" s="335" t="s">
        <v>4</v>
      </c>
      <c r="I989" s="336"/>
      <c r="J989" s="336"/>
      <c r="K989" s="336"/>
      <c r="L989" s="336"/>
      <c r="M989" s="363"/>
      <c r="N989" s="336"/>
      <c r="O989" s="338">
        <f t="shared" si="430"/>
        <v>0</v>
      </c>
      <c r="P989" s="336"/>
      <c r="Q989" s="430"/>
      <c r="T989" s="418"/>
    </row>
    <row r="990" spans="3:20" ht="15" hidden="1" outlineLevel="2">
      <c r="C990" s="1464"/>
      <c r="D990" s="1464"/>
      <c r="E990" s="1459"/>
      <c r="F990" s="1462"/>
      <c r="G990" s="368"/>
      <c r="H990" s="335" t="s">
        <v>4</v>
      </c>
      <c r="I990" s="336"/>
      <c r="J990" s="336"/>
      <c r="K990" s="336"/>
      <c r="L990" s="336"/>
      <c r="M990" s="363"/>
      <c r="N990" s="336"/>
      <c r="O990" s="338">
        <f t="shared" si="430"/>
        <v>0</v>
      </c>
      <c r="P990" s="336"/>
      <c r="Q990" s="430"/>
      <c r="T990" s="418"/>
    </row>
    <row r="991" spans="3:20" ht="15" hidden="1" outlineLevel="2">
      <c r="C991" s="1464"/>
      <c r="D991" s="1464"/>
      <c r="E991" s="1459"/>
      <c r="F991" s="1462"/>
      <c r="G991" s="1454" t="s">
        <v>45</v>
      </c>
      <c r="H991" s="1455"/>
      <c r="I991" s="359">
        <f>SUM(I963:I990)</f>
        <v>0</v>
      </c>
      <c r="J991" s="359">
        <f>SUM(J963:J990)</f>
        <v>0</v>
      </c>
      <c r="K991" s="359">
        <f t="shared" ref="K991:L991" si="435">SUM(K979:K990)</f>
        <v>0</v>
      </c>
      <c r="L991" s="359">
        <f t="shared" si="435"/>
        <v>0</v>
      </c>
      <c r="M991" s="360" t="s">
        <v>43</v>
      </c>
      <c r="N991" s="359">
        <f>SUM(N963:N990)</f>
        <v>0</v>
      </c>
      <c r="O991" s="361">
        <f t="shared" si="430"/>
        <v>0</v>
      </c>
      <c r="P991" s="359">
        <f>SUM(P963:P990)</f>
        <v>0</v>
      </c>
      <c r="Q991" s="435">
        <f>SUM(Q963:Q990)</f>
        <v>0</v>
      </c>
      <c r="T991" s="418"/>
    </row>
    <row r="992" spans="3:20" ht="15" hidden="1" outlineLevel="2">
      <c r="C992" s="1464"/>
      <c r="D992" s="1464"/>
      <c r="E992" s="1459"/>
      <c r="F992" s="1462"/>
      <c r="G992" s="353"/>
      <c r="H992" s="340" t="s">
        <v>29</v>
      </c>
      <c r="I992" s="341"/>
      <c r="J992" s="336"/>
      <c r="K992" s="336"/>
      <c r="L992" s="336"/>
      <c r="M992" s="363"/>
      <c r="N992" s="336"/>
      <c r="O992" s="338">
        <f t="shared" si="430"/>
        <v>0</v>
      </c>
      <c r="P992" s="336"/>
      <c r="Q992" s="430"/>
      <c r="T992" s="418"/>
    </row>
    <row r="993" spans="3:20" ht="15" hidden="1" outlineLevel="2">
      <c r="C993" s="1464"/>
      <c r="D993" s="1464"/>
      <c r="E993" s="1459"/>
      <c r="F993" s="1462"/>
      <c r="G993" s="353"/>
      <c r="H993" s="340" t="s">
        <v>29</v>
      </c>
      <c r="I993" s="341"/>
      <c r="J993" s="336"/>
      <c r="K993" s="336"/>
      <c r="L993" s="336"/>
      <c r="M993" s="363"/>
      <c r="N993" s="336"/>
      <c r="O993" s="338">
        <f t="shared" si="430"/>
        <v>0</v>
      </c>
      <c r="P993" s="336"/>
      <c r="Q993" s="430"/>
      <c r="T993" s="418"/>
    </row>
    <row r="994" spans="3:20" ht="15" hidden="1" outlineLevel="2">
      <c r="C994" s="1464"/>
      <c r="D994" s="1464"/>
      <c r="E994" s="1459"/>
      <c r="F994" s="1462"/>
      <c r="G994" s="353"/>
      <c r="H994" s="340" t="s">
        <v>29</v>
      </c>
      <c r="I994" s="341"/>
      <c r="J994" s="336"/>
      <c r="K994" s="336"/>
      <c r="L994" s="336"/>
      <c r="M994" s="363"/>
      <c r="N994" s="336"/>
      <c r="O994" s="338">
        <f t="shared" si="430"/>
        <v>0</v>
      </c>
      <c r="P994" s="336"/>
      <c r="Q994" s="430"/>
      <c r="T994" s="418"/>
    </row>
    <row r="995" spans="3:20" ht="15" hidden="1" outlineLevel="2">
      <c r="C995" s="1464"/>
      <c r="D995" s="1464"/>
      <c r="E995" s="1459"/>
      <c r="F995" s="1462"/>
      <c r="G995" s="353"/>
      <c r="H995" s="340" t="s">
        <v>29</v>
      </c>
      <c r="I995" s="341"/>
      <c r="J995" s="336"/>
      <c r="K995" s="336"/>
      <c r="L995" s="336"/>
      <c r="M995" s="363"/>
      <c r="N995" s="336"/>
      <c r="O995" s="338">
        <f t="shared" si="430"/>
        <v>0</v>
      </c>
      <c r="P995" s="336"/>
      <c r="Q995" s="430"/>
      <c r="T995" s="418"/>
    </row>
    <row r="996" spans="3:20" ht="15" hidden="1" outlineLevel="2">
      <c r="C996" s="1464"/>
      <c r="D996" s="1464"/>
      <c r="E996" s="1459"/>
      <c r="F996" s="1462"/>
      <c r="G996" s="353"/>
      <c r="H996" s="340" t="s">
        <v>29</v>
      </c>
      <c r="I996" s="341"/>
      <c r="J996" s="336"/>
      <c r="K996" s="336"/>
      <c r="L996" s="336"/>
      <c r="M996" s="363"/>
      <c r="N996" s="336"/>
      <c r="O996" s="338">
        <f t="shared" si="430"/>
        <v>0</v>
      </c>
      <c r="P996" s="336"/>
      <c r="Q996" s="430"/>
      <c r="T996" s="418"/>
    </row>
    <row r="997" spans="3:20" ht="15" hidden="1" outlineLevel="2">
      <c r="C997" s="1464"/>
      <c r="D997" s="1464"/>
      <c r="E997" s="1459"/>
      <c r="F997" s="1462"/>
      <c r="G997" s="353"/>
      <c r="H997" s="340" t="s">
        <v>29</v>
      </c>
      <c r="I997" s="341"/>
      <c r="J997" s="336"/>
      <c r="K997" s="336"/>
      <c r="L997" s="336"/>
      <c r="M997" s="363"/>
      <c r="N997" s="336"/>
      <c r="O997" s="338">
        <f t="shared" si="430"/>
        <v>0</v>
      </c>
      <c r="P997" s="336"/>
      <c r="Q997" s="430"/>
      <c r="T997" s="418"/>
    </row>
    <row r="998" spans="3:20" ht="15" hidden="1" outlineLevel="2">
      <c r="C998" s="1464"/>
      <c r="D998" s="1464"/>
      <c r="E998" s="1459"/>
      <c r="F998" s="1462"/>
      <c r="G998" s="353"/>
      <c r="H998" s="340" t="s">
        <v>29</v>
      </c>
      <c r="I998" s="341"/>
      <c r="J998" s="336"/>
      <c r="K998" s="336"/>
      <c r="L998" s="336"/>
      <c r="M998" s="363"/>
      <c r="N998" s="336"/>
      <c r="O998" s="338">
        <f t="shared" si="430"/>
        <v>0</v>
      </c>
      <c r="P998" s="336"/>
      <c r="Q998" s="430"/>
      <c r="T998" s="418"/>
    </row>
    <row r="999" spans="3:20" ht="15" hidden="1" outlineLevel="2">
      <c r="C999" s="1464"/>
      <c r="D999" s="1464"/>
      <c r="E999" s="1459"/>
      <c r="F999" s="1462"/>
      <c r="G999" s="353"/>
      <c r="H999" s="340" t="s">
        <v>29</v>
      </c>
      <c r="I999" s="341"/>
      <c r="J999" s="336"/>
      <c r="K999" s="336"/>
      <c r="L999" s="336"/>
      <c r="M999" s="363"/>
      <c r="N999" s="336"/>
      <c r="O999" s="338">
        <f t="shared" si="430"/>
        <v>0</v>
      </c>
      <c r="P999" s="336"/>
      <c r="Q999" s="430"/>
      <c r="T999" s="418"/>
    </row>
    <row r="1000" spans="3:20" ht="15" hidden="1" outlineLevel="2">
      <c r="C1000" s="1464"/>
      <c r="D1000" s="1464"/>
      <c r="E1000" s="1459"/>
      <c r="F1000" s="1462"/>
      <c r="G1000" s="353"/>
      <c r="H1000" s="340" t="s">
        <v>29</v>
      </c>
      <c r="I1000" s="341"/>
      <c r="J1000" s="336"/>
      <c r="K1000" s="336"/>
      <c r="L1000" s="336"/>
      <c r="M1000" s="363"/>
      <c r="N1000" s="336"/>
      <c r="O1000" s="338">
        <f t="shared" si="430"/>
        <v>0</v>
      </c>
      <c r="P1000" s="336"/>
      <c r="Q1000" s="430"/>
      <c r="T1000" s="418"/>
    </row>
    <row r="1001" spans="3:20" ht="15" hidden="1" outlineLevel="2">
      <c r="C1001" s="1464"/>
      <c r="D1001" s="1464"/>
      <c r="E1001" s="1459"/>
      <c r="F1001" s="1462"/>
      <c r="G1001" s="353"/>
      <c r="H1001" s="340" t="s">
        <v>29</v>
      </c>
      <c r="I1001" s="341"/>
      <c r="J1001" s="336"/>
      <c r="K1001" s="336"/>
      <c r="L1001" s="336"/>
      <c r="M1001" s="363"/>
      <c r="N1001" s="336"/>
      <c r="O1001" s="338">
        <f t="shared" si="430"/>
        <v>0</v>
      </c>
      <c r="P1001" s="336"/>
      <c r="Q1001" s="430"/>
      <c r="T1001" s="418"/>
    </row>
    <row r="1002" spans="3:20" ht="15" hidden="1" outlineLevel="2">
      <c r="C1002" s="1464"/>
      <c r="D1002" s="1464"/>
      <c r="E1002" s="1459"/>
      <c r="F1002" s="1462"/>
      <c r="G1002" s="353"/>
      <c r="H1002" s="340" t="s">
        <v>29</v>
      </c>
      <c r="I1002" s="341"/>
      <c r="J1002" s="336"/>
      <c r="K1002" s="336"/>
      <c r="L1002" s="336"/>
      <c r="M1002" s="363"/>
      <c r="N1002" s="336"/>
      <c r="O1002" s="338">
        <f t="shared" si="430"/>
        <v>0</v>
      </c>
      <c r="P1002" s="336"/>
      <c r="Q1002" s="430"/>
      <c r="T1002" s="418"/>
    </row>
    <row r="1003" spans="3:20" ht="15" hidden="1" outlineLevel="2">
      <c r="C1003" s="1464"/>
      <c r="D1003" s="1464"/>
      <c r="E1003" s="1459"/>
      <c r="F1003" s="1462"/>
      <c r="G1003" s="353"/>
      <c r="H1003" s="340" t="s">
        <v>29</v>
      </c>
      <c r="I1003" s="341"/>
      <c r="J1003" s="336"/>
      <c r="K1003" s="336"/>
      <c r="L1003" s="336"/>
      <c r="M1003" s="363"/>
      <c r="N1003" s="336"/>
      <c r="O1003" s="338">
        <f t="shared" si="430"/>
        <v>0</v>
      </c>
      <c r="P1003" s="336"/>
      <c r="Q1003" s="430"/>
      <c r="T1003" s="418"/>
    </row>
    <row r="1004" spans="3:20" ht="15" hidden="1" outlineLevel="2">
      <c r="C1004" s="1464"/>
      <c r="D1004" s="1464"/>
      <c r="E1004" s="1459"/>
      <c r="F1004" s="1462"/>
      <c r="G1004" s="1454" t="s">
        <v>50</v>
      </c>
      <c r="H1004" s="1455"/>
      <c r="I1004" s="359">
        <f>SUM(I992:I1003)</f>
        <v>0</v>
      </c>
      <c r="J1004" s="359">
        <f t="shared" ref="J1004" si="436">SUM(J992:J1003)</f>
        <v>0</v>
      </c>
      <c r="K1004" s="359">
        <f>SUM(K992:K1003)</f>
        <v>0</v>
      </c>
      <c r="L1004" s="359">
        <f>SUM(L992:L1003)</f>
        <v>0</v>
      </c>
      <c r="M1004" s="360" t="s">
        <v>43</v>
      </c>
      <c r="N1004" s="359">
        <f>SUM(N992:N1003)</f>
        <v>0</v>
      </c>
      <c r="O1004" s="361">
        <f t="shared" si="430"/>
        <v>0</v>
      </c>
      <c r="P1004" s="359">
        <f t="shared" ref="P1004:Q1004" si="437">SUM(P992:P1003)</f>
        <v>0</v>
      </c>
      <c r="Q1004" s="435">
        <f t="shared" si="437"/>
        <v>0</v>
      </c>
      <c r="T1004" s="418"/>
    </row>
    <row r="1005" spans="3:20" ht="15" hidden="1" outlineLevel="2">
      <c r="C1005" s="1464"/>
      <c r="D1005" s="1464"/>
      <c r="E1005" s="1459"/>
      <c r="F1005" s="1462"/>
      <c r="G1005" s="353"/>
      <c r="H1005" s="340" t="s">
        <v>22</v>
      </c>
      <c r="I1005" s="341"/>
      <c r="J1005" s="341">
        <v>0</v>
      </c>
      <c r="K1005" s="341"/>
      <c r="L1005" s="341"/>
      <c r="M1005" s="410"/>
      <c r="N1005" s="341"/>
      <c r="O1005" s="357">
        <f t="shared" si="430"/>
        <v>0</v>
      </c>
      <c r="P1005" s="341">
        <v>0</v>
      </c>
      <c r="Q1005" s="431">
        <v>0</v>
      </c>
      <c r="T1005" s="418"/>
    </row>
    <row r="1006" spans="3:20" ht="15" hidden="1" outlineLevel="2">
      <c r="C1006" s="1464"/>
      <c r="D1006" s="1464"/>
      <c r="E1006" s="1459"/>
      <c r="F1006" s="1462"/>
      <c r="G1006" s="353"/>
      <c r="H1006" s="340" t="s">
        <v>22</v>
      </c>
      <c r="I1006" s="341"/>
      <c r="J1006" s="341">
        <v>0</v>
      </c>
      <c r="K1006" s="341"/>
      <c r="L1006" s="341"/>
      <c r="M1006" s="410"/>
      <c r="N1006" s="341"/>
      <c r="O1006" s="357">
        <f t="shared" si="430"/>
        <v>0</v>
      </c>
      <c r="P1006" s="341">
        <v>0</v>
      </c>
      <c r="Q1006" s="431">
        <v>0</v>
      </c>
      <c r="T1006" s="418"/>
    </row>
    <row r="1007" spans="3:20" ht="15" hidden="1" outlineLevel="2">
      <c r="C1007" s="1464"/>
      <c r="D1007" s="1464"/>
      <c r="E1007" s="1459"/>
      <c r="F1007" s="1462"/>
      <c r="G1007" s="353"/>
      <c r="H1007" s="340" t="s">
        <v>22</v>
      </c>
      <c r="I1007" s="341"/>
      <c r="J1007" s="341">
        <v>0</v>
      </c>
      <c r="K1007" s="341"/>
      <c r="L1007" s="341"/>
      <c r="M1007" s="410"/>
      <c r="N1007" s="341"/>
      <c r="O1007" s="357">
        <f t="shared" si="430"/>
        <v>0</v>
      </c>
      <c r="P1007" s="341">
        <v>0</v>
      </c>
      <c r="Q1007" s="431">
        <v>0</v>
      </c>
      <c r="T1007" s="418"/>
    </row>
    <row r="1008" spans="3:20" ht="15" hidden="1" outlineLevel="2">
      <c r="C1008" s="1464"/>
      <c r="D1008" s="1464"/>
      <c r="E1008" s="1459"/>
      <c r="F1008" s="1462"/>
      <c r="G1008" s="353"/>
      <c r="H1008" s="340" t="s">
        <v>22</v>
      </c>
      <c r="I1008" s="341"/>
      <c r="J1008" s="341">
        <v>0</v>
      </c>
      <c r="K1008" s="341"/>
      <c r="L1008" s="341"/>
      <c r="M1008" s="410"/>
      <c r="N1008" s="341"/>
      <c r="O1008" s="357">
        <f t="shared" si="430"/>
        <v>0</v>
      </c>
      <c r="P1008" s="341">
        <v>0</v>
      </c>
      <c r="Q1008" s="431">
        <v>0</v>
      </c>
      <c r="T1008" s="418"/>
    </row>
    <row r="1009" spans="3:20" ht="15" hidden="1" outlineLevel="2">
      <c r="C1009" s="1464"/>
      <c r="D1009" s="1464"/>
      <c r="E1009" s="1459"/>
      <c r="F1009" s="1462"/>
      <c r="G1009" s="353"/>
      <c r="H1009" s="340" t="s">
        <v>22</v>
      </c>
      <c r="I1009" s="341"/>
      <c r="J1009" s="341">
        <v>0</v>
      </c>
      <c r="K1009" s="341"/>
      <c r="L1009" s="341"/>
      <c r="M1009" s="410"/>
      <c r="N1009" s="341"/>
      <c r="O1009" s="357">
        <f t="shared" si="430"/>
        <v>0</v>
      </c>
      <c r="P1009" s="341">
        <v>0</v>
      </c>
      <c r="Q1009" s="431">
        <v>0</v>
      </c>
      <c r="T1009" s="418"/>
    </row>
    <row r="1010" spans="3:20" ht="15" hidden="1" outlineLevel="2">
      <c r="C1010" s="1464"/>
      <c r="D1010" s="1464"/>
      <c r="E1010" s="1459"/>
      <c r="F1010" s="1462"/>
      <c r="G1010" s="353"/>
      <c r="H1010" s="340" t="s">
        <v>22</v>
      </c>
      <c r="I1010" s="341"/>
      <c r="J1010" s="341">
        <v>0</v>
      </c>
      <c r="K1010" s="341"/>
      <c r="L1010" s="341"/>
      <c r="M1010" s="410"/>
      <c r="N1010" s="341"/>
      <c r="O1010" s="357">
        <f t="shared" si="430"/>
        <v>0</v>
      </c>
      <c r="P1010" s="341">
        <v>0</v>
      </c>
      <c r="Q1010" s="431">
        <v>0</v>
      </c>
      <c r="T1010" s="418"/>
    </row>
    <row r="1011" spans="3:20" ht="15" hidden="1" outlineLevel="2">
      <c r="C1011" s="1464"/>
      <c r="D1011" s="1464"/>
      <c r="E1011" s="1459"/>
      <c r="F1011" s="1462"/>
      <c r="G1011" s="353"/>
      <c r="H1011" s="340" t="s">
        <v>22</v>
      </c>
      <c r="I1011" s="341"/>
      <c r="J1011" s="341">
        <v>0</v>
      </c>
      <c r="K1011" s="341"/>
      <c r="L1011" s="341"/>
      <c r="M1011" s="410"/>
      <c r="N1011" s="341"/>
      <c r="O1011" s="357">
        <f t="shared" si="430"/>
        <v>0</v>
      </c>
      <c r="P1011" s="341">
        <v>0</v>
      </c>
      <c r="Q1011" s="431">
        <v>0</v>
      </c>
      <c r="T1011" s="418"/>
    </row>
    <row r="1012" spans="3:20" ht="15" hidden="1" outlineLevel="2">
      <c r="C1012" s="1464"/>
      <c r="D1012" s="1464"/>
      <c r="E1012" s="1459"/>
      <c r="F1012" s="1462"/>
      <c r="G1012" s="353"/>
      <c r="H1012" s="340" t="s">
        <v>22</v>
      </c>
      <c r="I1012" s="341"/>
      <c r="J1012" s="341">
        <v>0</v>
      </c>
      <c r="K1012" s="341"/>
      <c r="L1012" s="341"/>
      <c r="M1012" s="410"/>
      <c r="N1012" s="341"/>
      <c r="O1012" s="357">
        <f t="shared" si="430"/>
        <v>0</v>
      </c>
      <c r="P1012" s="341">
        <v>0</v>
      </c>
      <c r="Q1012" s="431">
        <v>0</v>
      </c>
      <c r="T1012" s="418"/>
    </row>
    <row r="1013" spans="3:20" ht="15" hidden="1" outlineLevel="2">
      <c r="C1013" s="1464"/>
      <c r="D1013" s="1464"/>
      <c r="E1013" s="1459"/>
      <c r="F1013" s="1462"/>
      <c r="G1013" s="353"/>
      <c r="H1013" s="340" t="s">
        <v>22</v>
      </c>
      <c r="I1013" s="341"/>
      <c r="J1013" s="341">
        <v>0</v>
      </c>
      <c r="K1013" s="341"/>
      <c r="L1013" s="341"/>
      <c r="M1013" s="410"/>
      <c r="N1013" s="341"/>
      <c r="O1013" s="357">
        <f t="shared" si="430"/>
        <v>0</v>
      </c>
      <c r="P1013" s="341">
        <v>0</v>
      </c>
      <c r="Q1013" s="431">
        <v>0</v>
      </c>
      <c r="T1013" s="418"/>
    </row>
    <row r="1014" spans="3:20" ht="15" hidden="1" outlineLevel="2">
      <c r="C1014" s="1464"/>
      <c r="D1014" s="1464"/>
      <c r="E1014" s="1459"/>
      <c r="F1014" s="1462"/>
      <c r="G1014" s="353"/>
      <c r="H1014" s="340" t="s">
        <v>22</v>
      </c>
      <c r="I1014" s="341"/>
      <c r="J1014" s="341">
        <v>0</v>
      </c>
      <c r="K1014" s="341"/>
      <c r="L1014" s="341"/>
      <c r="M1014" s="410"/>
      <c r="N1014" s="341"/>
      <c r="O1014" s="357">
        <f t="shared" si="430"/>
        <v>0</v>
      </c>
      <c r="P1014" s="341">
        <v>0</v>
      </c>
      <c r="Q1014" s="431">
        <v>0</v>
      </c>
      <c r="T1014" s="418"/>
    </row>
    <row r="1015" spans="3:20" ht="15" hidden="1" outlineLevel="2">
      <c r="C1015" s="1464"/>
      <c r="D1015" s="1464"/>
      <c r="E1015" s="1459"/>
      <c r="F1015" s="1462"/>
      <c r="G1015" s="353"/>
      <c r="H1015" s="340" t="s">
        <v>22</v>
      </c>
      <c r="I1015" s="341"/>
      <c r="J1015" s="341">
        <v>0</v>
      </c>
      <c r="K1015" s="341"/>
      <c r="L1015" s="341"/>
      <c r="M1015" s="410"/>
      <c r="N1015" s="341"/>
      <c r="O1015" s="357">
        <f t="shared" si="430"/>
        <v>0</v>
      </c>
      <c r="P1015" s="341">
        <v>0</v>
      </c>
      <c r="Q1015" s="431">
        <v>0</v>
      </c>
      <c r="T1015" s="418"/>
    </row>
    <row r="1016" spans="3:20" ht="15" hidden="1" outlineLevel="2">
      <c r="C1016" s="1464"/>
      <c r="D1016" s="1464"/>
      <c r="E1016" s="1459"/>
      <c r="F1016" s="1462"/>
      <c r="G1016" s="353"/>
      <c r="H1016" s="340" t="s">
        <v>22</v>
      </c>
      <c r="I1016" s="341"/>
      <c r="J1016" s="341">
        <v>0</v>
      </c>
      <c r="K1016" s="341"/>
      <c r="L1016" s="341"/>
      <c r="M1016" s="410"/>
      <c r="N1016" s="341"/>
      <c r="O1016" s="357">
        <f t="shared" si="430"/>
        <v>0</v>
      </c>
      <c r="P1016" s="341">
        <v>0</v>
      </c>
      <c r="Q1016" s="431">
        <v>0</v>
      </c>
      <c r="T1016" s="418"/>
    </row>
    <row r="1017" spans="3:20" ht="15" hidden="1" outlineLevel="2">
      <c r="C1017" s="1464"/>
      <c r="D1017" s="1464"/>
      <c r="E1017" s="1459"/>
      <c r="F1017" s="1462"/>
      <c r="G1017" s="353"/>
      <c r="H1017" s="340" t="s">
        <v>22</v>
      </c>
      <c r="I1017" s="341"/>
      <c r="J1017" s="341">
        <v>0</v>
      </c>
      <c r="K1017" s="341"/>
      <c r="L1017" s="341"/>
      <c r="M1017" s="410"/>
      <c r="N1017" s="341"/>
      <c r="O1017" s="357">
        <f t="shared" si="430"/>
        <v>0</v>
      </c>
      <c r="P1017" s="341">
        <v>0</v>
      </c>
      <c r="Q1017" s="431">
        <v>0</v>
      </c>
      <c r="T1017" s="418"/>
    </row>
    <row r="1018" spans="3:20" ht="15" hidden="1" outlineLevel="2">
      <c r="C1018" s="1464"/>
      <c r="D1018" s="1464"/>
      <c r="E1018" s="1459"/>
      <c r="F1018" s="1462"/>
      <c r="G1018" s="353"/>
      <c r="H1018" s="340" t="s">
        <v>22</v>
      </c>
      <c r="I1018" s="341"/>
      <c r="J1018" s="341">
        <v>0</v>
      </c>
      <c r="K1018" s="341"/>
      <c r="L1018" s="341"/>
      <c r="M1018" s="410"/>
      <c r="N1018" s="341"/>
      <c r="O1018" s="357">
        <f t="shared" si="430"/>
        <v>0</v>
      </c>
      <c r="P1018" s="341">
        <v>0</v>
      </c>
      <c r="Q1018" s="431">
        <v>0</v>
      </c>
      <c r="T1018" s="418"/>
    </row>
    <row r="1019" spans="3:20" ht="15" hidden="1" outlineLevel="2">
      <c r="C1019" s="1464"/>
      <c r="D1019" s="1464"/>
      <c r="E1019" s="1459"/>
      <c r="F1019" s="1462"/>
      <c r="G1019" s="353"/>
      <c r="H1019" s="340" t="s">
        <v>22</v>
      </c>
      <c r="I1019" s="341"/>
      <c r="J1019" s="341">
        <v>0</v>
      </c>
      <c r="K1019" s="341"/>
      <c r="L1019" s="341"/>
      <c r="M1019" s="410"/>
      <c r="N1019" s="341"/>
      <c r="O1019" s="357">
        <f t="shared" si="430"/>
        <v>0</v>
      </c>
      <c r="P1019" s="341">
        <v>0</v>
      </c>
      <c r="Q1019" s="431">
        <v>0</v>
      </c>
      <c r="T1019" s="418"/>
    </row>
    <row r="1020" spans="3:20" ht="15" hidden="1" outlineLevel="2">
      <c r="C1020" s="1464"/>
      <c r="D1020" s="1464"/>
      <c r="E1020" s="1459"/>
      <c r="F1020" s="1462"/>
      <c r="G1020" s="353"/>
      <c r="H1020" s="340" t="s">
        <v>22</v>
      </c>
      <c r="I1020" s="341"/>
      <c r="J1020" s="341">
        <v>0</v>
      </c>
      <c r="K1020" s="341"/>
      <c r="L1020" s="341"/>
      <c r="M1020" s="410"/>
      <c r="N1020" s="341"/>
      <c r="O1020" s="357">
        <f t="shared" si="430"/>
        <v>0</v>
      </c>
      <c r="P1020" s="341">
        <v>0</v>
      </c>
      <c r="Q1020" s="431">
        <v>0</v>
      </c>
      <c r="T1020" s="418"/>
    </row>
    <row r="1021" spans="3:20" ht="15" hidden="1" outlineLevel="2">
      <c r="C1021" s="1464"/>
      <c r="D1021" s="1464"/>
      <c r="E1021" s="1459"/>
      <c r="F1021" s="1462"/>
      <c r="G1021" s="353"/>
      <c r="H1021" s="340" t="s">
        <v>22</v>
      </c>
      <c r="I1021" s="341"/>
      <c r="J1021" s="341">
        <v>0</v>
      </c>
      <c r="K1021" s="341"/>
      <c r="L1021" s="341"/>
      <c r="M1021" s="410"/>
      <c r="N1021" s="341"/>
      <c r="O1021" s="357">
        <f t="shared" si="430"/>
        <v>0</v>
      </c>
      <c r="P1021" s="341">
        <v>0</v>
      </c>
      <c r="Q1021" s="431">
        <v>0</v>
      </c>
      <c r="T1021" s="418"/>
    </row>
    <row r="1022" spans="3:20" ht="15" hidden="1" outlineLevel="2">
      <c r="C1022" s="1464"/>
      <c r="D1022" s="1464"/>
      <c r="E1022" s="1459"/>
      <c r="F1022" s="1462"/>
      <c r="G1022" s="353"/>
      <c r="H1022" s="340" t="s">
        <v>22</v>
      </c>
      <c r="I1022" s="341"/>
      <c r="J1022" s="341">
        <v>0</v>
      </c>
      <c r="K1022" s="341"/>
      <c r="L1022" s="341"/>
      <c r="M1022" s="410"/>
      <c r="N1022" s="341"/>
      <c r="O1022" s="357">
        <f t="shared" si="430"/>
        <v>0</v>
      </c>
      <c r="P1022" s="341">
        <v>0</v>
      </c>
      <c r="Q1022" s="431">
        <v>0</v>
      </c>
      <c r="T1022" s="418"/>
    </row>
    <row r="1023" spans="3:20" ht="15" hidden="1" outlineLevel="2">
      <c r="C1023" s="1464"/>
      <c r="D1023" s="1464"/>
      <c r="E1023" s="1459"/>
      <c r="F1023" s="1462"/>
      <c r="G1023" s="353"/>
      <c r="H1023" s="340" t="s">
        <v>22</v>
      </c>
      <c r="I1023" s="341"/>
      <c r="J1023" s="341">
        <v>0</v>
      </c>
      <c r="K1023" s="341"/>
      <c r="L1023" s="341"/>
      <c r="M1023" s="410"/>
      <c r="N1023" s="341"/>
      <c r="O1023" s="357">
        <f t="shared" si="430"/>
        <v>0</v>
      </c>
      <c r="P1023" s="341">
        <v>0</v>
      </c>
      <c r="Q1023" s="431">
        <v>0</v>
      </c>
      <c r="T1023" s="418"/>
    </row>
    <row r="1024" spans="3:20" ht="15" hidden="1" outlineLevel="2">
      <c r="C1024" s="1464"/>
      <c r="D1024" s="1464"/>
      <c r="E1024" s="1459"/>
      <c r="F1024" s="1462"/>
      <c r="G1024" s="1454" t="s">
        <v>44</v>
      </c>
      <c r="H1024" s="1455"/>
      <c r="I1024" s="365">
        <f>SUM(I1005:I1023)</f>
        <v>0</v>
      </c>
      <c r="J1024" s="365">
        <f t="shared" ref="J1024:K1024" si="438">SUM(J1005:J1023)</f>
        <v>0</v>
      </c>
      <c r="K1024" s="365">
        <f t="shared" si="438"/>
        <v>0</v>
      </c>
      <c r="L1024" s="365">
        <f t="shared" ref="L1024" si="439">SUM(L1005:L1023)</f>
        <v>0</v>
      </c>
      <c r="M1024" s="366" t="s">
        <v>43</v>
      </c>
      <c r="N1024" s="365">
        <f t="shared" ref="N1024" si="440">SUM(N1005:N1023)</f>
        <v>0</v>
      </c>
      <c r="O1024" s="361">
        <f t="shared" ref="O1024:O1087" si="441">IF(N1024=0,0,N1024/J1024)</f>
        <v>0</v>
      </c>
      <c r="P1024" s="365">
        <f t="shared" ref="P1024:Q1024" si="442">SUM(P1005:P1023)</f>
        <v>0</v>
      </c>
      <c r="Q1024" s="436">
        <f t="shared" si="442"/>
        <v>0</v>
      </c>
      <c r="T1024" s="418"/>
    </row>
    <row r="1025" spans="3:26" ht="15" hidden="1" outlineLevel="2">
      <c r="C1025" s="1464"/>
      <c r="D1025" s="1464"/>
      <c r="E1025" s="1459"/>
      <c r="F1025" s="1462"/>
      <c r="G1025" s="350"/>
      <c r="H1025" s="335" t="s">
        <v>4</v>
      </c>
      <c r="I1025" s="336">
        <f>I991</f>
        <v>0</v>
      </c>
      <c r="J1025" s="336">
        <f>J991</f>
        <v>0</v>
      </c>
      <c r="K1025" s="336">
        <f>K991</f>
        <v>0</v>
      </c>
      <c r="L1025" s="336">
        <f>L991</f>
        <v>0</v>
      </c>
      <c r="M1025" s="337" t="s">
        <v>49</v>
      </c>
      <c r="N1025" s="336">
        <f>N991</f>
        <v>0</v>
      </c>
      <c r="O1025" s="338">
        <f t="shared" si="441"/>
        <v>0</v>
      </c>
      <c r="P1025" s="336">
        <f>P991</f>
        <v>0</v>
      </c>
      <c r="Q1025" s="430">
        <f>Q991</f>
        <v>0</v>
      </c>
      <c r="T1025" s="418"/>
    </row>
    <row r="1026" spans="3:26" ht="15" hidden="1" outlineLevel="2">
      <c r="C1026" s="1464"/>
      <c r="D1026" s="1464"/>
      <c r="E1026" s="1459"/>
      <c r="F1026" s="1462"/>
      <c r="G1026" s="350"/>
      <c r="H1026" s="335" t="s">
        <v>29</v>
      </c>
      <c r="I1026" s="336">
        <f>I1004</f>
        <v>0</v>
      </c>
      <c r="J1026" s="336">
        <f t="shared" ref="J1026:N1026" si="443">J1004</f>
        <v>0</v>
      </c>
      <c r="K1026" s="336">
        <f t="shared" si="443"/>
        <v>0</v>
      </c>
      <c r="L1026" s="336">
        <f t="shared" ref="L1026" si="444">L1004</f>
        <v>0</v>
      </c>
      <c r="M1026" s="336" t="str">
        <f t="shared" si="443"/>
        <v>Cash Security</v>
      </c>
      <c r="N1026" s="336">
        <f t="shared" si="443"/>
        <v>0</v>
      </c>
      <c r="O1026" s="338">
        <f t="shared" si="441"/>
        <v>0</v>
      </c>
      <c r="P1026" s="336">
        <f t="shared" ref="P1026:Q1026" si="445">P1004</f>
        <v>0</v>
      </c>
      <c r="Q1026" s="430">
        <f t="shared" si="445"/>
        <v>0</v>
      </c>
      <c r="T1026" s="418"/>
    </row>
    <row r="1027" spans="3:26" ht="15" hidden="1" outlineLevel="2">
      <c r="C1027" s="1464"/>
      <c r="D1027" s="1464"/>
      <c r="E1027" s="1459"/>
      <c r="F1027" s="1462"/>
      <c r="G1027" s="350"/>
      <c r="H1027" s="340" t="s">
        <v>22</v>
      </c>
      <c r="I1027" s="336">
        <f>I1024</f>
        <v>0</v>
      </c>
      <c r="J1027" s="336">
        <f t="shared" ref="J1027:N1027" si="446">J1024</f>
        <v>0</v>
      </c>
      <c r="K1027" s="336">
        <f t="shared" si="446"/>
        <v>0</v>
      </c>
      <c r="L1027" s="336">
        <f t="shared" ref="L1027" si="447">L1024</f>
        <v>0</v>
      </c>
      <c r="M1027" s="336" t="str">
        <f t="shared" si="446"/>
        <v>Cash Security</v>
      </c>
      <c r="N1027" s="336">
        <f t="shared" si="446"/>
        <v>0</v>
      </c>
      <c r="O1027" s="338">
        <f t="shared" si="441"/>
        <v>0</v>
      </c>
      <c r="P1027" s="336">
        <f t="shared" ref="P1027:Q1027" si="448">P1024</f>
        <v>0</v>
      </c>
      <c r="Q1027" s="430">
        <f t="shared" si="448"/>
        <v>0</v>
      </c>
      <c r="T1027" s="418"/>
    </row>
    <row r="1028" spans="3:26" ht="15" hidden="1" outlineLevel="1" collapsed="1">
      <c r="C1028" s="1464"/>
      <c r="D1028" s="1464"/>
      <c r="E1028" s="1459"/>
      <c r="F1028" s="1463"/>
      <c r="G1028" s="1454" t="s">
        <v>177</v>
      </c>
      <c r="H1028" s="1455"/>
      <c r="I1028" s="369">
        <f>(I1025/usdrate)+(I1026*eurrate)+I1027</f>
        <v>0</v>
      </c>
      <c r="J1028" s="369">
        <f>(J1025/usdrate)+(J1026*eurrate)+J1027</f>
        <v>0</v>
      </c>
      <c r="K1028" s="369">
        <f>(K1025/usdrate)+(K1026*eurrate)+K1027</f>
        <v>0</v>
      </c>
      <c r="L1028" s="369">
        <f>(L1025/usdrate)+(L1026*eurrate)+L1027</f>
        <v>0</v>
      </c>
      <c r="M1028" s="360" t="s">
        <v>178</v>
      </c>
      <c r="N1028" s="369">
        <f>(N1025/usdrate)+(N1026*eurrate)+N1027</f>
        <v>0</v>
      </c>
      <c r="O1028" s="367">
        <f t="shared" si="441"/>
        <v>0</v>
      </c>
      <c r="P1028" s="369">
        <f>(P1025/usdrate)+(P1026*eurrate)+P1027</f>
        <v>0</v>
      </c>
      <c r="Q1028" s="437">
        <f>(Q1025/usdrate)+(Q1026*eurrate)+Q1027</f>
        <v>0</v>
      </c>
      <c r="T1028" s="418"/>
    </row>
    <row r="1029" spans="3:26" ht="15" hidden="1" outlineLevel="2">
      <c r="C1029" s="1464"/>
      <c r="D1029" s="1464"/>
      <c r="E1029" s="1459"/>
      <c r="F1029" s="1461" t="s">
        <v>169</v>
      </c>
      <c r="G1029" s="353"/>
      <c r="H1029" s="340" t="s">
        <v>4</v>
      </c>
      <c r="I1029" s="341"/>
      <c r="J1029" s="341"/>
      <c r="K1029" s="370"/>
      <c r="L1029" s="370"/>
      <c r="M1029" s="337"/>
      <c r="N1029" s="336"/>
      <c r="O1029" s="338">
        <f t="shared" si="441"/>
        <v>0</v>
      </c>
      <c r="P1029" s="341"/>
      <c r="Q1029" s="431"/>
      <c r="R1029" s="28">
        <f t="shared" ref="R1029:R1061" si="449">IF(H1029="USD",$B$4,IF(H1029="ILS",$B$2,IF(H1029="JOD",$B$3,"")))</f>
        <v>0.05</v>
      </c>
      <c r="S1029" s="17">
        <f t="shared" ref="S1029:S1038" si="450">R1029*J1029</f>
        <v>0</v>
      </c>
      <c r="T1029" s="419">
        <f t="shared" ref="T1029:T1038" si="451">R1029*I1029</f>
        <v>0</v>
      </c>
      <c r="U1029" s="43"/>
      <c r="V1029" s="44">
        <f t="shared" ref="V1029:V1038" si="452">U1029/12</f>
        <v>0</v>
      </c>
      <c r="W1029" s="35">
        <f t="shared" ref="W1029:W1038" si="453">T1029*V1029</f>
        <v>0</v>
      </c>
      <c r="X1029" s="35"/>
      <c r="Y1029" s="45">
        <f t="shared" ref="Y1029:Y1038" si="454">I1029+W1029</f>
        <v>0</v>
      </c>
      <c r="Z1029" s="45" t="e">
        <f t="shared" ref="Z1029:Z1038" si="455">Y1029/U1029</f>
        <v>#DIV/0!</v>
      </c>
    </row>
    <row r="1030" spans="3:26" ht="15" hidden="1" outlineLevel="2">
      <c r="C1030" s="1464"/>
      <c r="D1030" s="1464"/>
      <c r="E1030" s="1459"/>
      <c r="F1030" s="1462"/>
      <c r="G1030" s="343"/>
      <c r="H1030" s="340" t="s">
        <v>4</v>
      </c>
      <c r="I1030" s="341"/>
      <c r="J1030" s="341"/>
      <c r="K1030" s="341"/>
      <c r="L1030" s="341"/>
      <c r="M1030" s="342"/>
      <c r="N1030" s="341">
        <v>0</v>
      </c>
      <c r="O1030" s="338">
        <f t="shared" si="441"/>
        <v>0</v>
      </c>
      <c r="P1030" s="341"/>
      <c r="Q1030" s="431"/>
      <c r="R1030" s="28">
        <f t="shared" si="449"/>
        <v>0.05</v>
      </c>
      <c r="S1030" s="17">
        <f t="shared" si="450"/>
        <v>0</v>
      </c>
      <c r="T1030" s="419">
        <f t="shared" si="451"/>
        <v>0</v>
      </c>
      <c r="U1030" s="43"/>
      <c r="V1030" s="44">
        <f t="shared" si="452"/>
        <v>0</v>
      </c>
      <c r="W1030" s="35">
        <f t="shared" si="453"/>
        <v>0</v>
      </c>
      <c r="X1030" s="35"/>
      <c r="Y1030" s="45">
        <f t="shared" si="454"/>
        <v>0</v>
      </c>
      <c r="Z1030" s="45" t="e">
        <f t="shared" si="455"/>
        <v>#DIV/0!</v>
      </c>
    </row>
    <row r="1031" spans="3:26" ht="15" hidden="1" outlineLevel="2">
      <c r="C1031" s="1464"/>
      <c r="D1031" s="1464"/>
      <c r="E1031" s="1459"/>
      <c r="F1031" s="1462"/>
      <c r="G1031" s="343"/>
      <c r="H1031" s="340" t="s">
        <v>4</v>
      </c>
      <c r="I1031" s="341"/>
      <c r="J1031" s="341"/>
      <c r="K1031" s="341"/>
      <c r="L1031" s="341"/>
      <c r="M1031" s="337"/>
      <c r="N1031" s="341"/>
      <c r="O1031" s="338">
        <f t="shared" si="441"/>
        <v>0</v>
      </c>
      <c r="P1031" s="341"/>
      <c r="Q1031" s="431"/>
      <c r="R1031" s="28">
        <f t="shared" si="449"/>
        <v>0.05</v>
      </c>
      <c r="S1031" s="17">
        <f t="shared" si="450"/>
        <v>0</v>
      </c>
      <c r="T1031" s="419">
        <f t="shared" si="451"/>
        <v>0</v>
      </c>
      <c r="U1031" s="43"/>
      <c r="V1031" s="44">
        <f t="shared" si="452"/>
        <v>0</v>
      </c>
      <c r="W1031" s="35">
        <f t="shared" si="453"/>
        <v>0</v>
      </c>
      <c r="X1031" s="35"/>
      <c r="Y1031" s="45">
        <f t="shared" si="454"/>
        <v>0</v>
      </c>
      <c r="Z1031" s="45" t="e">
        <f t="shared" si="455"/>
        <v>#DIV/0!</v>
      </c>
    </row>
    <row r="1032" spans="3:26" ht="15" hidden="1" outlineLevel="2">
      <c r="C1032" s="1464"/>
      <c r="D1032" s="1464"/>
      <c r="E1032" s="1459"/>
      <c r="F1032" s="1462"/>
      <c r="G1032" s="343"/>
      <c r="H1032" s="340" t="s">
        <v>4</v>
      </c>
      <c r="I1032" s="341"/>
      <c r="J1032" s="341"/>
      <c r="K1032" s="341"/>
      <c r="L1032" s="341"/>
      <c r="M1032" s="342"/>
      <c r="N1032" s="341"/>
      <c r="O1032" s="338">
        <f t="shared" si="441"/>
        <v>0</v>
      </c>
      <c r="P1032" s="341"/>
      <c r="Q1032" s="431"/>
      <c r="R1032" s="28">
        <f t="shared" si="449"/>
        <v>0.05</v>
      </c>
      <c r="S1032" s="17">
        <f t="shared" si="450"/>
        <v>0</v>
      </c>
      <c r="T1032" s="419">
        <f t="shared" si="451"/>
        <v>0</v>
      </c>
      <c r="U1032" s="43"/>
      <c r="V1032" s="44">
        <f t="shared" si="452"/>
        <v>0</v>
      </c>
      <c r="W1032" s="35">
        <f t="shared" si="453"/>
        <v>0</v>
      </c>
      <c r="X1032" s="35"/>
      <c r="Y1032" s="45">
        <f t="shared" si="454"/>
        <v>0</v>
      </c>
      <c r="Z1032" s="45" t="e">
        <f t="shared" si="455"/>
        <v>#DIV/0!</v>
      </c>
    </row>
    <row r="1033" spans="3:26" ht="15" hidden="1" outlineLevel="2">
      <c r="C1033" s="1464"/>
      <c r="D1033" s="1464"/>
      <c r="E1033" s="1459"/>
      <c r="F1033" s="1462"/>
      <c r="G1033" s="343"/>
      <c r="H1033" s="340" t="s">
        <v>4</v>
      </c>
      <c r="I1033" s="341"/>
      <c r="J1033" s="341"/>
      <c r="K1033" s="341"/>
      <c r="L1033" s="341"/>
      <c r="M1033" s="342"/>
      <c r="N1033" s="341"/>
      <c r="O1033" s="338">
        <f t="shared" si="441"/>
        <v>0</v>
      </c>
      <c r="P1033" s="341"/>
      <c r="Q1033" s="431"/>
      <c r="R1033" s="28">
        <f t="shared" si="449"/>
        <v>0.05</v>
      </c>
      <c r="S1033" s="17">
        <f t="shared" si="450"/>
        <v>0</v>
      </c>
      <c r="T1033" s="419">
        <f t="shared" si="451"/>
        <v>0</v>
      </c>
      <c r="U1033" s="43"/>
      <c r="V1033" s="44">
        <f t="shared" si="452"/>
        <v>0</v>
      </c>
      <c r="W1033" s="35">
        <f t="shared" si="453"/>
        <v>0</v>
      </c>
      <c r="X1033" s="35"/>
      <c r="Y1033" s="45">
        <f t="shared" si="454"/>
        <v>0</v>
      </c>
      <c r="Z1033" s="45" t="e">
        <f t="shared" si="455"/>
        <v>#DIV/0!</v>
      </c>
    </row>
    <row r="1034" spans="3:26" ht="15" hidden="1" outlineLevel="2">
      <c r="C1034" s="1464"/>
      <c r="D1034" s="1464"/>
      <c r="E1034" s="1459"/>
      <c r="F1034" s="1462"/>
      <c r="G1034" s="343"/>
      <c r="H1034" s="340" t="s">
        <v>4</v>
      </c>
      <c r="I1034" s="341"/>
      <c r="J1034" s="341"/>
      <c r="K1034" s="341"/>
      <c r="L1034" s="341"/>
      <c r="M1034" s="342"/>
      <c r="N1034" s="341"/>
      <c r="O1034" s="338">
        <f t="shared" si="441"/>
        <v>0</v>
      </c>
      <c r="P1034" s="341"/>
      <c r="Q1034" s="431"/>
      <c r="R1034" s="28">
        <f t="shared" si="449"/>
        <v>0.05</v>
      </c>
      <c r="S1034" s="17">
        <f t="shared" si="450"/>
        <v>0</v>
      </c>
      <c r="T1034" s="419">
        <f t="shared" si="451"/>
        <v>0</v>
      </c>
      <c r="U1034" s="43"/>
      <c r="V1034" s="44">
        <f t="shared" si="452"/>
        <v>0</v>
      </c>
      <c r="W1034" s="35">
        <f t="shared" si="453"/>
        <v>0</v>
      </c>
      <c r="X1034" s="35"/>
      <c r="Y1034" s="45">
        <f t="shared" si="454"/>
        <v>0</v>
      </c>
      <c r="Z1034" s="45" t="e">
        <f t="shared" si="455"/>
        <v>#DIV/0!</v>
      </c>
    </row>
    <row r="1035" spans="3:26" ht="15" hidden="1" outlineLevel="2">
      <c r="C1035" s="1464"/>
      <c r="D1035" s="1464"/>
      <c r="E1035" s="1459"/>
      <c r="F1035" s="1462"/>
      <c r="G1035" s="343"/>
      <c r="H1035" s="340" t="s">
        <v>4</v>
      </c>
      <c r="I1035" s="341"/>
      <c r="J1035" s="341"/>
      <c r="K1035" s="341"/>
      <c r="L1035" s="341"/>
      <c r="M1035" s="342"/>
      <c r="N1035" s="341"/>
      <c r="O1035" s="338">
        <f t="shared" si="441"/>
        <v>0</v>
      </c>
      <c r="P1035" s="341"/>
      <c r="Q1035" s="431"/>
      <c r="R1035" s="28">
        <f t="shared" si="449"/>
        <v>0.05</v>
      </c>
      <c r="S1035" s="17">
        <f t="shared" si="450"/>
        <v>0</v>
      </c>
      <c r="T1035" s="419">
        <f t="shared" si="451"/>
        <v>0</v>
      </c>
      <c r="U1035" s="43"/>
      <c r="V1035" s="44">
        <f t="shared" si="452"/>
        <v>0</v>
      </c>
      <c r="W1035" s="35">
        <f t="shared" si="453"/>
        <v>0</v>
      </c>
      <c r="X1035" s="35"/>
      <c r="Y1035" s="45">
        <f t="shared" si="454"/>
        <v>0</v>
      </c>
      <c r="Z1035" s="45" t="e">
        <f t="shared" si="455"/>
        <v>#DIV/0!</v>
      </c>
    </row>
    <row r="1036" spans="3:26" ht="15" hidden="1" outlineLevel="2">
      <c r="C1036" s="1464"/>
      <c r="D1036" s="1464"/>
      <c r="E1036" s="1459"/>
      <c r="F1036" s="1462"/>
      <c r="G1036" s="343"/>
      <c r="H1036" s="340" t="s">
        <v>4</v>
      </c>
      <c r="I1036" s="341"/>
      <c r="J1036" s="341"/>
      <c r="K1036" s="341"/>
      <c r="L1036" s="341"/>
      <c r="M1036" s="342"/>
      <c r="N1036" s="341"/>
      <c r="O1036" s="338">
        <f t="shared" si="441"/>
        <v>0</v>
      </c>
      <c r="P1036" s="341"/>
      <c r="Q1036" s="431"/>
      <c r="R1036" s="28">
        <f t="shared" si="449"/>
        <v>0.05</v>
      </c>
      <c r="S1036" s="17">
        <f t="shared" si="450"/>
        <v>0</v>
      </c>
      <c r="T1036" s="419">
        <f t="shared" si="451"/>
        <v>0</v>
      </c>
      <c r="U1036" s="43"/>
      <c r="V1036" s="44">
        <f t="shared" si="452"/>
        <v>0</v>
      </c>
      <c r="W1036" s="35">
        <f t="shared" si="453"/>
        <v>0</v>
      </c>
      <c r="X1036" s="35"/>
      <c r="Y1036" s="45">
        <f t="shared" si="454"/>
        <v>0</v>
      </c>
      <c r="Z1036" s="45" t="e">
        <f t="shared" si="455"/>
        <v>#DIV/0!</v>
      </c>
    </row>
    <row r="1037" spans="3:26" ht="15" hidden="1" outlineLevel="2">
      <c r="C1037" s="1464"/>
      <c r="D1037" s="1464"/>
      <c r="E1037" s="1459"/>
      <c r="F1037" s="1462"/>
      <c r="G1037" s="344"/>
      <c r="H1037" s="340" t="s">
        <v>4</v>
      </c>
      <c r="I1037" s="345"/>
      <c r="J1037" s="345"/>
      <c r="K1037" s="345"/>
      <c r="L1037" s="345"/>
      <c r="M1037" s="346"/>
      <c r="N1037" s="345"/>
      <c r="O1037" s="338">
        <f t="shared" si="441"/>
        <v>0</v>
      </c>
      <c r="P1037" s="345"/>
      <c r="Q1037" s="432"/>
      <c r="R1037" s="28">
        <f t="shared" si="449"/>
        <v>0.05</v>
      </c>
      <c r="S1037" s="17">
        <f t="shared" si="450"/>
        <v>0</v>
      </c>
      <c r="T1037" s="419">
        <f t="shared" si="451"/>
        <v>0</v>
      </c>
      <c r="U1037" s="43"/>
      <c r="V1037" s="44">
        <f t="shared" si="452"/>
        <v>0</v>
      </c>
      <c r="W1037" s="35">
        <f t="shared" si="453"/>
        <v>0</v>
      </c>
      <c r="X1037" s="35"/>
      <c r="Y1037" s="45">
        <f t="shared" si="454"/>
        <v>0</v>
      </c>
      <c r="Z1037" s="45" t="e">
        <f t="shared" si="455"/>
        <v>#DIV/0!</v>
      </c>
    </row>
    <row r="1038" spans="3:26" ht="15" hidden="1" outlineLevel="2">
      <c r="C1038" s="1464"/>
      <c r="D1038" s="1464"/>
      <c r="E1038" s="1459"/>
      <c r="F1038" s="1462"/>
      <c r="G1038" s="343"/>
      <c r="H1038" s="340" t="s">
        <v>4</v>
      </c>
      <c r="I1038" s="341"/>
      <c r="J1038" s="341"/>
      <c r="K1038" s="341"/>
      <c r="L1038" s="341"/>
      <c r="M1038" s="342"/>
      <c r="N1038" s="341"/>
      <c r="O1038" s="338">
        <f t="shared" si="441"/>
        <v>0</v>
      </c>
      <c r="P1038" s="341"/>
      <c r="Q1038" s="431"/>
      <c r="R1038" s="28">
        <f t="shared" si="449"/>
        <v>0.05</v>
      </c>
      <c r="S1038" s="17">
        <f t="shared" si="450"/>
        <v>0</v>
      </c>
      <c r="T1038" s="419">
        <f t="shared" si="451"/>
        <v>0</v>
      </c>
      <c r="U1038" s="43"/>
      <c r="V1038" s="44">
        <f t="shared" si="452"/>
        <v>0</v>
      </c>
      <c r="W1038" s="35">
        <f t="shared" si="453"/>
        <v>0</v>
      </c>
      <c r="X1038" s="35"/>
      <c r="Y1038" s="45">
        <f t="shared" si="454"/>
        <v>0</v>
      </c>
      <c r="Z1038" s="45" t="e">
        <f t="shared" si="455"/>
        <v>#DIV/0!</v>
      </c>
    </row>
    <row r="1039" spans="3:26" ht="15" hidden="1" outlineLevel="2">
      <c r="C1039" s="1464"/>
      <c r="D1039" s="1464"/>
      <c r="E1039" s="1459"/>
      <c r="F1039" s="1462"/>
      <c r="G1039" s="1454" t="s">
        <v>45</v>
      </c>
      <c r="H1039" s="1455"/>
      <c r="I1039" s="371">
        <f>SUM(I1029:I1038)</f>
        <v>0</v>
      </c>
      <c r="J1039" s="371">
        <f t="shared" ref="J1039" si="456">SUM(J1029:J1038)</f>
        <v>0</v>
      </c>
      <c r="K1039" s="371">
        <f>SUMIFS(K1029:K1038,K1029:K1038,"&lt;&gt;",K1029:K1038,"&lt;"&amp;99^99)</f>
        <v>0</v>
      </c>
      <c r="L1039" s="371">
        <f>SUMIFS(L1029:L1038,L1029:L1038,"&lt;&gt;",L1029:L1038,"&lt;"&amp;99^99)</f>
        <v>0</v>
      </c>
      <c r="M1039" s="359"/>
      <c r="N1039" s="371">
        <f>N1029</f>
        <v>0</v>
      </c>
      <c r="O1039" s="367">
        <f t="shared" si="441"/>
        <v>0</v>
      </c>
      <c r="P1039" s="371">
        <f t="shared" ref="P1039:Q1039" si="457">SUM(P1029:P1038)</f>
        <v>0</v>
      </c>
      <c r="Q1039" s="438">
        <f t="shared" si="457"/>
        <v>0</v>
      </c>
      <c r="R1039" s="37" t="str">
        <f t="shared" si="449"/>
        <v/>
      </c>
      <c r="S1039" s="37">
        <f>SUM(S1029:S1038)</f>
        <v>0</v>
      </c>
      <c r="T1039" s="420">
        <f t="shared" ref="T1039" si="458">SUM(T1029:T1038)</f>
        <v>0</v>
      </c>
      <c r="U1039" s="37"/>
      <c r="V1039" s="37"/>
      <c r="W1039" s="37">
        <f t="shared" ref="W1039" si="459">SUM(W1029:W1038)</f>
        <v>0</v>
      </c>
      <c r="X1039" s="37"/>
      <c r="Y1039" s="37">
        <f t="shared" ref="Y1039" si="460">SUM(Y1029:Y1038)</f>
        <v>0</v>
      </c>
      <c r="Z1039" s="37">
        <f>SUMIFS(Z1029:Z1038,Y1029:Y1038,"&lt;&gt;",Z1029:Z1038,"&lt;"&amp;99^99)</f>
        <v>0</v>
      </c>
    </row>
    <row r="1040" spans="3:26" ht="15" hidden="1" outlineLevel="2">
      <c r="C1040" s="1464"/>
      <c r="D1040" s="1464"/>
      <c r="E1040" s="1459"/>
      <c r="F1040" s="1462"/>
      <c r="G1040" s="350"/>
      <c r="H1040" s="335" t="s">
        <v>28</v>
      </c>
      <c r="I1040" s="336"/>
      <c r="J1040" s="336"/>
      <c r="K1040" s="336"/>
      <c r="L1040" s="336"/>
      <c r="M1040" s="337"/>
      <c r="N1040" s="336"/>
      <c r="O1040" s="338">
        <f t="shared" si="441"/>
        <v>0</v>
      </c>
      <c r="P1040" s="336"/>
      <c r="Q1040" s="430"/>
      <c r="R1040" s="28">
        <f t="shared" si="449"/>
        <v>3.5000000000000003E-2</v>
      </c>
      <c r="S1040" s="17">
        <f t="shared" ref="S1040:S1049" si="461">R1040*J1040</f>
        <v>0</v>
      </c>
      <c r="T1040" s="419">
        <f t="shared" ref="T1040:T1049" si="462">R1040*I1040</f>
        <v>0</v>
      </c>
      <c r="U1040" s="43"/>
      <c r="V1040" s="44">
        <f t="shared" ref="V1040:V1049" si="463">U1040/12</f>
        <v>0</v>
      </c>
      <c r="W1040" s="35">
        <f t="shared" ref="W1040:W1049" si="464">T1040*V1040</f>
        <v>0</v>
      </c>
      <c r="X1040" s="35"/>
      <c r="Y1040" s="45">
        <f t="shared" ref="Y1040:Y1049" si="465">I1040+W1040</f>
        <v>0</v>
      </c>
      <c r="Z1040" s="45" t="e">
        <f t="shared" ref="Z1040:Z1049" si="466">Y1040/U1040</f>
        <v>#DIV/0!</v>
      </c>
    </row>
    <row r="1041" spans="3:26" ht="15" hidden="1" outlineLevel="2">
      <c r="C1041" s="1464"/>
      <c r="D1041" s="1464"/>
      <c r="E1041" s="1459"/>
      <c r="F1041" s="1462"/>
      <c r="G1041" s="343"/>
      <c r="H1041" s="335" t="s">
        <v>28</v>
      </c>
      <c r="I1041" s="341"/>
      <c r="J1041" s="341"/>
      <c r="K1041" s="341"/>
      <c r="L1041" s="341"/>
      <c r="M1041" s="342"/>
      <c r="N1041" s="341"/>
      <c r="O1041" s="338">
        <f t="shared" si="441"/>
        <v>0</v>
      </c>
      <c r="P1041" s="341"/>
      <c r="Q1041" s="431"/>
      <c r="R1041" s="28">
        <f t="shared" si="449"/>
        <v>3.5000000000000003E-2</v>
      </c>
      <c r="S1041" s="17">
        <f t="shared" si="461"/>
        <v>0</v>
      </c>
      <c r="T1041" s="419">
        <f t="shared" si="462"/>
        <v>0</v>
      </c>
      <c r="U1041" s="43"/>
      <c r="V1041" s="44">
        <f t="shared" si="463"/>
        <v>0</v>
      </c>
      <c r="W1041" s="35">
        <f t="shared" si="464"/>
        <v>0</v>
      </c>
      <c r="X1041" s="35"/>
      <c r="Y1041" s="45">
        <f t="shared" si="465"/>
        <v>0</v>
      </c>
      <c r="Z1041" s="45" t="e">
        <f t="shared" si="466"/>
        <v>#DIV/0!</v>
      </c>
    </row>
    <row r="1042" spans="3:26" ht="15" hidden="1" outlineLevel="2">
      <c r="C1042" s="1464"/>
      <c r="D1042" s="1464"/>
      <c r="E1042" s="1459"/>
      <c r="F1042" s="1462"/>
      <c r="G1042" s="343"/>
      <c r="H1042" s="335" t="s">
        <v>28</v>
      </c>
      <c r="I1042" s="341"/>
      <c r="J1042" s="341"/>
      <c r="K1042" s="341"/>
      <c r="L1042" s="341"/>
      <c r="M1042" s="337"/>
      <c r="N1042" s="341"/>
      <c r="O1042" s="338">
        <f t="shared" si="441"/>
        <v>0</v>
      </c>
      <c r="P1042" s="341"/>
      <c r="Q1042" s="431"/>
      <c r="R1042" s="28">
        <f t="shared" si="449"/>
        <v>3.5000000000000003E-2</v>
      </c>
      <c r="S1042" s="17">
        <f t="shared" si="461"/>
        <v>0</v>
      </c>
      <c r="T1042" s="419">
        <f t="shared" si="462"/>
        <v>0</v>
      </c>
      <c r="U1042" s="43"/>
      <c r="V1042" s="44">
        <f t="shared" si="463"/>
        <v>0</v>
      </c>
      <c r="W1042" s="35">
        <f t="shared" si="464"/>
        <v>0</v>
      </c>
      <c r="X1042" s="35"/>
      <c r="Y1042" s="45">
        <f t="shared" si="465"/>
        <v>0</v>
      </c>
      <c r="Z1042" s="45" t="e">
        <f t="shared" si="466"/>
        <v>#DIV/0!</v>
      </c>
    </row>
    <row r="1043" spans="3:26" ht="15" hidden="1" outlineLevel="2">
      <c r="C1043" s="1464"/>
      <c r="D1043" s="1464"/>
      <c r="E1043" s="1459"/>
      <c r="F1043" s="1462"/>
      <c r="G1043" s="343"/>
      <c r="H1043" s="335" t="s">
        <v>28</v>
      </c>
      <c r="I1043" s="341"/>
      <c r="J1043" s="341"/>
      <c r="K1043" s="341"/>
      <c r="L1043" s="341"/>
      <c r="M1043" s="342"/>
      <c r="N1043" s="341"/>
      <c r="O1043" s="338">
        <f t="shared" si="441"/>
        <v>0</v>
      </c>
      <c r="P1043" s="341"/>
      <c r="Q1043" s="431"/>
      <c r="R1043" s="28">
        <f t="shared" si="449"/>
        <v>3.5000000000000003E-2</v>
      </c>
      <c r="S1043" s="17">
        <f t="shared" si="461"/>
        <v>0</v>
      </c>
      <c r="T1043" s="419">
        <f t="shared" si="462"/>
        <v>0</v>
      </c>
      <c r="U1043" s="43"/>
      <c r="V1043" s="44">
        <f t="shared" si="463"/>
        <v>0</v>
      </c>
      <c r="W1043" s="35">
        <f t="shared" si="464"/>
        <v>0</v>
      </c>
      <c r="X1043" s="35"/>
      <c r="Y1043" s="45">
        <f t="shared" si="465"/>
        <v>0</v>
      </c>
      <c r="Z1043" s="45" t="e">
        <f t="shared" si="466"/>
        <v>#DIV/0!</v>
      </c>
    </row>
    <row r="1044" spans="3:26" ht="15" hidden="1" outlineLevel="2">
      <c r="C1044" s="1464"/>
      <c r="D1044" s="1464"/>
      <c r="E1044" s="1459"/>
      <c r="F1044" s="1462"/>
      <c r="G1044" s="343"/>
      <c r="H1044" s="335" t="s">
        <v>28</v>
      </c>
      <c r="I1044" s="341"/>
      <c r="J1044" s="341"/>
      <c r="K1044" s="341"/>
      <c r="L1044" s="341"/>
      <c r="M1044" s="342"/>
      <c r="N1044" s="341"/>
      <c r="O1044" s="338">
        <f t="shared" si="441"/>
        <v>0</v>
      </c>
      <c r="P1044" s="341"/>
      <c r="Q1044" s="431"/>
      <c r="R1044" s="28">
        <f t="shared" si="449"/>
        <v>3.5000000000000003E-2</v>
      </c>
      <c r="S1044" s="17">
        <f t="shared" si="461"/>
        <v>0</v>
      </c>
      <c r="T1044" s="419">
        <f t="shared" si="462"/>
        <v>0</v>
      </c>
      <c r="U1044" s="43"/>
      <c r="V1044" s="44">
        <f t="shared" si="463"/>
        <v>0</v>
      </c>
      <c r="W1044" s="35">
        <f t="shared" si="464"/>
        <v>0</v>
      </c>
      <c r="X1044" s="35"/>
      <c r="Y1044" s="45">
        <f t="shared" si="465"/>
        <v>0</v>
      </c>
      <c r="Z1044" s="45" t="e">
        <f t="shared" si="466"/>
        <v>#DIV/0!</v>
      </c>
    </row>
    <row r="1045" spans="3:26" ht="15" hidden="1" outlineLevel="2">
      <c r="C1045" s="1464"/>
      <c r="D1045" s="1464"/>
      <c r="E1045" s="1459"/>
      <c r="F1045" s="1462"/>
      <c r="G1045" s="343"/>
      <c r="H1045" s="335" t="s">
        <v>28</v>
      </c>
      <c r="I1045" s="341"/>
      <c r="J1045" s="341"/>
      <c r="K1045" s="341"/>
      <c r="L1045" s="341"/>
      <c r="M1045" s="342"/>
      <c r="N1045" s="341"/>
      <c r="O1045" s="338">
        <f t="shared" si="441"/>
        <v>0</v>
      </c>
      <c r="P1045" s="341"/>
      <c r="Q1045" s="431"/>
      <c r="R1045" s="28">
        <f t="shared" si="449"/>
        <v>3.5000000000000003E-2</v>
      </c>
      <c r="S1045" s="17">
        <f t="shared" si="461"/>
        <v>0</v>
      </c>
      <c r="T1045" s="419">
        <f t="shared" si="462"/>
        <v>0</v>
      </c>
      <c r="U1045" s="43"/>
      <c r="V1045" s="44">
        <f t="shared" si="463"/>
        <v>0</v>
      </c>
      <c r="W1045" s="35">
        <f t="shared" si="464"/>
        <v>0</v>
      </c>
      <c r="X1045" s="35"/>
      <c r="Y1045" s="45">
        <f t="shared" si="465"/>
        <v>0</v>
      </c>
      <c r="Z1045" s="45" t="e">
        <f t="shared" si="466"/>
        <v>#DIV/0!</v>
      </c>
    </row>
    <row r="1046" spans="3:26" ht="15" hidden="1" outlineLevel="2">
      <c r="C1046" s="1464"/>
      <c r="D1046" s="1464"/>
      <c r="E1046" s="1459"/>
      <c r="F1046" s="1462"/>
      <c r="G1046" s="343"/>
      <c r="H1046" s="335" t="s">
        <v>28</v>
      </c>
      <c r="I1046" s="341"/>
      <c r="J1046" s="341"/>
      <c r="K1046" s="341"/>
      <c r="L1046" s="341"/>
      <c r="M1046" s="342"/>
      <c r="N1046" s="341"/>
      <c r="O1046" s="338">
        <f t="shared" si="441"/>
        <v>0</v>
      </c>
      <c r="P1046" s="341"/>
      <c r="Q1046" s="431"/>
      <c r="R1046" s="28">
        <f t="shared" si="449"/>
        <v>3.5000000000000003E-2</v>
      </c>
      <c r="S1046" s="17">
        <f t="shared" si="461"/>
        <v>0</v>
      </c>
      <c r="T1046" s="419">
        <f t="shared" si="462"/>
        <v>0</v>
      </c>
      <c r="U1046" s="43"/>
      <c r="V1046" s="44">
        <f t="shared" si="463"/>
        <v>0</v>
      </c>
      <c r="W1046" s="35">
        <f t="shared" si="464"/>
        <v>0</v>
      </c>
      <c r="X1046" s="35"/>
      <c r="Y1046" s="45">
        <f t="shared" si="465"/>
        <v>0</v>
      </c>
      <c r="Z1046" s="45" t="e">
        <f t="shared" si="466"/>
        <v>#DIV/0!</v>
      </c>
    </row>
    <row r="1047" spans="3:26" ht="15" hidden="1" outlineLevel="2">
      <c r="C1047" s="1464"/>
      <c r="D1047" s="1464"/>
      <c r="E1047" s="1459"/>
      <c r="F1047" s="1462"/>
      <c r="G1047" s="343"/>
      <c r="H1047" s="335" t="s">
        <v>28</v>
      </c>
      <c r="I1047" s="341"/>
      <c r="J1047" s="341"/>
      <c r="K1047" s="341"/>
      <c r="L1047" s="341"/>
      <c r="M1047" s="342"/>
      <c r="N1047" s="341"/>
      <c r="O1047" s="338">
        <f t="shared" si="441"/>
        <v>0</v>
      </c>
      <c r="P1047" s="341"/>
      <c r="Q1047" s="431"/>
      <c r="R1047" s="28">
        <f t="shared" si="449"/>
        <v>3.5000000000000003E-2</v>
      </c>
      <c r="S1047" s="17">
        <f t="shared" si="461"/>
        <v>0</v>
      </c>
      <c r="T1047" s="419">
        <f t="shared" si="462"/>
        <v>0</v>
      </c>
      <c r="U1047" s="43"/>
      <c r="V1047" s="44">
        <f t="shared" si="463"/>
        <v>0</v>
      </c>
      <c r="W1047" s="35">
        <f t="shared" si="464"/>
        <v>0</v>
      </c>
      <c r="X1047" s="35"/>
      <c r="Y1047" s="45">
        <f t="shared" si="465"/>
        <v>0</v>
      </c>
      <c r="Z1047" s="45" t="e">
        <f t="shared" si="466"/>
        <v>#DIV/0!</v>
      </c>
    </row>
    <row r="1048" spans="3:26" ht="15" hidden="1" outlineLevel="2">
      <c r="C1048" s="1464"/>
      <c r="D1048" s="1464"/>
      <c r="E1048" s="1459"/>
      <c r="F1048" s="1462"/>
      <c r="G1048" s="344"/>
      <c r="H1048" s="335" t="s">
        <v>28</v>
      </c>
      <c r="I1048" s="345"/>
      <c r="J1048" s="345"/>
      <c r="K1048" s="345"/>
      <c r="L1048" s="345"/>
      <c r="M1048" s="346"/>
      <c r="N1048" s="345"/>
      <c r="O1048" s="338">
        <f t="shared" si="441"/>
        <v>0</v>
      </c>
      <c r="P1048" s="345"/>
      <c r="Q1048" s="432"/>
      <c r="R1048" s="28">
        <f t="shared" si="449"/>
        <v>3.5000000000000003E-2</v>
      </c>
      <c r="S1048" s="17">
        <f t="shared" si="461"/>
        <v>0</v>
      </c>
      <c r="T1048" s="419">
        <f t="shared" si="462"/>
        <v>0</v>
      </c>
      <c r="U1048" s="43"/>
      <c r="V1048" s="44">
        <f t="shared" si="463"/>
        <v>0</v>
      </c>
      <c r="W1048" s="35">
        <f t="shared" si="464"/>
        <v>0</v>
      </c>
      <c r="X1048" s="35"/>
      <c r="Y1048" s="45">
        <f t="shared" si="465"/>
        <v>0</v>
      </c>
      <c r="Z1048" s="45" t="e">
        <f t="shared" si="466"/>
        <v>#DIV/0!</v>
      </c>
    </row>
    <row r="1049" spans="3:26" ht="15" hidden="1" outlineLevel="2">
      <c r="C1049" s="1464"/>
      <c r="D1049" s="1464"/>
      <c r="E1049" s="1459"/>
      <c r="F1049" s="1462"/>
      <c r="G1049" s="343"/>
      <c r="H1049" s="335" t="s">
        <v>28</v>
      </c>
      <c r="I1049" s="341"/>
      <c r="J1049" s="341"/>
      <c r="K1049" s="341"/>
      <c r="L1049" s="341"/>
      <c r="M1049" s="342"/>
      <c r="N1049" s="341"/>
      <c r="O1049" s="338">
        <f t="shared" si="441"/>
        <v>0</v>
      </c>
      <c r="P1049" s="341"/>
      <c r="Q1049" s="431"/>
      <c r="R1049" s="28">
        <f t="shared" si="449"/>
        <v>3.5000000000000003E-2</v>
      </c>
      <c r="S1049" s="17">
        <f t="shared" si="461"/>
        <v>0</v>
      </c>
      <c r="T1049" s="419">
        <f t="shared" si="462"/>
        <v>0</v>
      </c>
      <c r="U1049" s="43"/>
      <c r="V1049" s="44">
        <f t="shared" si="463"/>
        <v>0</v>
      </c>
      <c r="W1049" s="35">
        <f t="shared" si="464"/>
        <v>0</v>
      </c>
      <c r="X1049" s="35"/>
      <c r="Y1049" s="45">
        <f t="shared" si="465"/>
        <v>0</v>
      </c>
      <c r="Z1049" s="45" t="e">
        <f t="shared" si="466"/>
        <v>#DIV/0!</v>
      </c>
    </row>
    <row r="1050" spans="3:26" ht="15" hidden="1" outlineLevel="2">
      <c r="C1050" s="1464"/>
      <c r="D1050" s="1464"/>
      <c r="E1050" s="1459"/>
      <c r="F1050" s="1462"/>
      <c r="G1050" s="1454" t="s">
        <v>51</v>
      </c>
      <c r="H1050" s="1455"/>
      <c r="I1050" s="371">
        <f>SUM(I1040:I1049)</f>
        <v>0</v>
      </c>
      <c r="J1050" s="371">
        <f t="shared" ref="J1050" si="467">SUM(J1040:J1049)</f>
        <v>0</v>
      </c>
      <c r="K1050" s="371">
        <f>SUMIFS(K1040:K1049,J1040:J1049,"&lt;&gt;",K1040:K1049,"&lt;"&amp;99^99)</f>
        <v>0</v>
      </c>
      <c r="L1050" s="371">
        <f>SUMIFS(L1040:L1049,K1040:K1049,"&lt;&gt;",L1040:L1049,"&lt;"&amp;99^99)</f>
        <v>0</v>
      </c>
      <c r="M1050" s="359"/>
      <c r="N1050" s="371">
        <f>N1040</f>
        <v>0</v>
      </c>
      <c r="O1050" s="367">
        <f t="shared" si="441"/>
        <v>0</v>
      </c>
      <c r="P1050" s="371">
        <f t="shared" ref="P1050:Q1050" si="468">SUM(P1040:P1049)</f>
        <v>0</v>
      </c>
      <c r="Q1050" s="438">
        <f t="shared" si="468"/>
        <v>0</v>
      </c>
      <c r="R1050" s="37" t="str">
        <f t="shared" si="449"/>
        <v/>
      </c>
      <c r="S1050" s="37">
        <f>SUM(S1040:S1049)</f>
        <v>0</v>
      </c>
      <c r="T1050" s="420">
        <f t="shared" ref="T1050" si="469">SUM(T1040:T1049)</f>
        <v>0</v>
      </c>
      <c r="U1050" s="37"/>
      <c r="V1050" s="37"/>
      <c r="W1050" s="37">
        <f t="shared" ref="W1050" si="470">SUM(W1040:W1049)</f>
        <v>0</v>
      </c>
      <c r="X1050" s="37"/>
      <c r="Y1050" s="37">
        <f t="shared" ref="Y1050" si="471">SUM(Y1040:Y1049)</f>
        <v>0</v>
      </c>
      <c r="Z1050" s="37">
        <f>SUMIFS(Z1040:Z1049,Y1040:Y1049,"&lt;&gt;",Z1040:Z1049,"&lt;"&amp;99^99)</f>
        <v>0</v>
      </c>
    </row>
    <row r="1051" spans="3:26" ht="15" hidden="1" outlineLevel="2">
      <c r="C1051" s="1464"/>
      <c r="D1051" s="1464"/>
      <c r="E1051" s="1459"/>
      <c r="F1051" s="1462"/>
      <c r="G1051" s="350"/>
      <c r="H1051" s="335" t="s">
        <v>22</v>
      </c>
      <c r="I1051" s="336"/>
      <c r="J1051" s="336"/>
      <c r="K1051" s="336"/>
      <c r="L1051" s="336"/>
      <c r="M1051" s="337"/>
      <c r="N1051" s="336"/>
      <c r="O1051" s="338">
        <f t="shared" si="441"/>
        <v>0</v>
      </c>
      <c r="P1051" s="336"/>
      <c r="Q1051" s="430"/>
      <c r="R1051" s="28">
        <f t="shared" si="449"/>
        <v>3.5000000000000003E-2</v>
      </c>
      <c r="S1051" s="17">
        <f t="shared" ref="S1051:S1060" si="472">R1051*J1051</f>
        <v>0</v>
      </c>
      <c r="T1051" s="419">
        <f t="shared" ref="T1051:T1060" si="473">R1051*I1051</f>
        <v>0</v>
      </c>
      <c r="U1051" s="43"/>
      <c r="V1051" s="44">
        <f t="shared" ref="V1051:V1060" si="474">U1051/12</f>
        <v>0</v>
      </c>
      <c r="W1051" s="35">
        <f t="shared" ref="W1051:W1060" si="475">T1051*V1051</f>
        <v>0</v>
      </c>
      <c r="X1051" s="35"/>
      <c r="Y1051" s="45">
        <f t="shared" ref="Y1051:Y1060" si="476">I1051+W1051</f>
        <v>0</v>
      </c>
      <c r="Z1051" s="45" t="e">
        <f t="shared" ref="Z1051:Z1060" si="477">Y1051/U1051</f>
        <v>#DIV/0!</v>
      </c>
    </row>
    <row r="1052" spans="3:26" ht="15" hidden="1" outlineLevel="2">
      <c r="C1052" s="1464"/>
      <c r="D1052" s="1464"/>
      <c r="E1052" s="1459"/>
      <c r="F1052" s="1462"/>
      <c r="G1052" s="343"/>
      <c r="H1052" s="335" t="s">
        <v>22</v>
      </c>
      <c r="I1052" s="341"/>
      <c r="J1052" s="341"/>
      <c r="K1052" s="341"/>
      <c r="L1052" s="341"/>
      <c r="M1052" s="342"/>
      <c r="N1052" s="341">
        <v>0</v>
      </c>
      <c r="O1052" s="338">
        <f t="shared" si="441"/>
        <v>0</v>
      </c>
      <c r="P1052" s="341"/>
      <c r="Q1052" s="431"/>
      <c r="R1052" s="28">
        <f t="shared" si="449"/>
        <v>3.5000000000000003E-2</v>
      </c>
      <c r="S1052" s="17">
        <f t="shared" si="472"/>
        <v>0</v>
      </c>
      <c r="T1052" s="419">
        <f t="shared" si="473"/>
        <v>0</v>
      </c>
      <c r="U1052" s="43"/>
      <c r="V1052" s="44">
        <f t="shared" si="474"/>
        <v>0</v>
      </c>
      <c r="W1052" s="35">
        <f t="shared" si="475"/>
        <v>0</v>
      </c>
      <c r="X1052" s="35"/>
      <c r="Y1052" s="45">
        <f t="shared" si="476"/>
        <v>0</v>
      </c>
      <c r="Z1052" s="45" t="e">
        <f t="shared" si="477"/>
        <v>#DIV/0!</v>
      </c>
    </row>
    <row r="1053" spans="3:26" ht="15" hidden="1" outlineLevel="2">
      <c r="C1053" s="1464"/>
      <c r="D1053" s="1464"/>
      <c r="E1053" s="1459"/>
      <c r="F1053" s="1462"/>
      <c r="G1053" s="343"/>
      <c r="H1053" s="335" t="s">
        <v>22</v>
      </c>
      <c r="I1053" s="341"/>
      <c r="J1053" s="341"/>
      <c r="K1053" s="341"/>
      <c r="L1053" s="341"/>
      <c r="M1053" s="337"/>
      <c r="N1053" s="341"/>
      <c r="O1053" s="338">
        <f t="shared" si="441"/>
        <v>0</v>
      </c>
      <c r="P1053" s="341"/>
      <c r="Q1053" s="431"/>
      <c r="R1053" s="28">
        <f t="shared" si="449"/>
        <v>3.5000000000000003E-2</v>
      </c>
      <c r="S1053" s="17">
        <f t="shared" si="472"/>
        <v>0</v>
      </c>
      <c r="T1053" s="419">
        <f t="shared" si="473"/>
        <v>0</v>
      </c>
      <c r="U1053" s="43"/>
      <c r="V1053" s="44">
        <f t="shared" si="474"/>
        <v>0</v>
      </c>
      <c r="W1053" s="35">
        <f t="shared" si="475"/>
        <v>0</v>
      </c>
      <c r="X1053" s="35"/>
      <c r="Y1053" s="45">
        <f t="shared" si="476"/>
        <v>0</v>
      </c>
      <c r="Z1053" s="45" t="e">
        <f t="shared" si="477"/>
        <v>#DIV/0!</v>
      </c>
    </row>
    <row r="1054" spans="3:26" ht="15" hidden="1" outlineLevel="2">
      <c r="C1054" s="1464"/>
      <c r="D1054" s="1464"/>
      <c r="E1054" s="1459"/>
      <c r="F1054" s="1462"/>
      <c r="G1054" s="343"/>
      <c r="H1054" s="335" t="s">
        <v>22</v>
      </c>
      <c r="I1054" s="341"/>
      <c r="J1054" s="341"/>
      <c r="K1054" s="341"/>
      <c r="L1054" s="341"/>
      <c r="M1054" s="342"/>
      <c r="N1054" s="341"/>
      <c r="O1054" s="338">
        <f t="shared" si="441"/>
        <v>0</v>
      </c>
      <c r="P1054" s="341"/>
      <c r="Q1054" s="431"/>
      <c r="R1054" s="28">
        <f t="shared" si="449"/>
        <v>3.5000000000000003E-2</v>
      </c>
      <c r="S1054" s="17">
        <f t="shared" si="472"/>
        <v>0</v>
      </c>
      <c r="T1054" s="419">
        <f t="shared" si="473"/>
        <v>0</v>
      </c>
      <c r="U1054" s="43"/>
      <c r="V1054" s="44">
        <f t="shared" si="474"/>
        <v>0</v>
      </c>
      <c r="W1054" s="35">
        <f t="shared" si="475"/>
        <v>0</v>
      </c>
      <c r="X1054" s="35"/>
      <c r="Y1054" s="45">
        <f t="shared" si="476"/>
        <v>0</v>
      </c>
      <c r="Z1054" s="45" t="e">
        <f t="shared" si="477"/>
        <v>#DIV/0!</v>
      </c>
    </row>
    <row r="1055" spans="3:26" ht="15" hidden="1" outlineLevel="2">
      <c r="C1055" s="1464"/>
      <c r="D1055" s="1464"/>
      <c r="E1055" s="1459"/>
      <c r="F1055" s="1462"/>
      <c r="G1055" s="343"/>
      <c r="H1055" s="335" t="s">
        <v>22</v>
      </c>
      <c r="I1055" s="341"/>
      <c r="J1055" s="341"/>
      <c r="K1055" s="341"/>
      <c r="L1055" s="341"/>
      <c r="M1055" s="342"/>
      <c r="N1055" s="341"/>
      <c r="O1055" s="338">
        <f t="shared" si="441"/>
        <v>0</v>
      </c>
      <c r="P1055" s="341"/>
      <c r="Q1055" s="431"/>
      <c r="R1055" s="28">
        <f t="shared" si="449"/>
        <v>3.5000000000000003E-2</v>
      </c>
      <c r="S1055" s="17">
        <f t="shared" si="472"/>
        <v>0</v>
      </c>
      <c r="T1055" s="419">
        <f t="shared" si="473"/>
        <v>0</v>
      </c>
      <c r="U1055" s="43"/>
      <c r="V1055" s="44">
        <f t="shared" si="474"/>
        <v>0</v>
      </c>
      <c r="W1055" s="35">
        <f t="shared" si="475"/>
        <v>0</v>
      </c>
      <c r="X1055" s="35"/>
      <c r="Y1055" s="45">
        <f t="shared" si="476"/>
        <v>0</v>
      </c>
      <c r="Z1055" s="45" t="e">
        <f t="shared" si="477"/>
        <v>#DIV/0!</v>
      </c>
    </row>
    <row r="1056" spans="3:26" ht="15" hidden="1" outlineLevel="2">
      <c r="C1056" s="1464"/>
      <c r="D1056" s="1464"/>
      <c r="E1056" s="1459"/>
      <c r="F1056" s="1462"/>
      <c r="G1056" s="343"/>
      <c r="H1056" s="335" t="s">
        <v>22</v>
      </c>
      <c r="I1056" s="341"/>
      <c r="J1056" s="341"/>
      <c r="K1056" s="341"/>
      <c r="L1056" s="341"/>
      <c r="M1056" s="342"/>
      <c r="N1056" s="341"/>
      <c r="O1056" s="338">
        <f t="shared" si="441"/>
        <v>0</v>
      </c>
      <c r="P1056" s="341"/>
      <c r="Q1056" s="431"/>
      <c r="R1056" s="28">
        <f t="shared" si="449"/>
        <v>3.5000000000000003E-2</v>
      </c>
      <c r="S1056" s="17">
        <f t="shared" si="472"/>
        <v>0</v>
      </c>
      <c r="T1056" s="419">
        <f t="shared" si="473"/>
        <v>0</v>
      </c>
      <c r="U1056" s="43"/>
      <c r="V1056" s="44">
        <f t="shared" si="474"/>
        <v>0</v>
      </c>
      <c r="W1056" s="35">
        <f t="shared" si="475"/>
        <v>0</v>
      </c>
      <c r="X1056" s="35"/>
      <c r="Y1056" s="45">
        <f t="shared" si="476"/>
        <v>0</v>
      </c>
      <c r="Z1056" s="45" t="e">
        <f t="shared" si="477"/>
        <v>#DIV/0!</v>
      </c>
    </row>
    <row r="1057" spans="3:26" ht="15" hidden="1" outlineLevel="2">
      <c r="C1057" s="1464"/>
      <c r="D1057" s="1464"/>
      <c r="E1057" s="1459"/>
      <c r="F1057" s="1462"/>
      <c r="G1057" s="343"/>
      <c r="H1057" s="335" t="s">
        <v>22</v>
      </c>
      <c r="I1057" s="341"/>
      <c r="J1057" s="341"/>
      <c r="K1057" s="341"/>
      <c r="L1057" s="341"/>
      <c r="M1057" s="342"/>
      <c r="N1057" s="341"/>
      <c r="O1057" s="338">
        <f t="shared" si="441"/>
        <v>0</v>
      </c>
      <c r="P1057" s="341"/>
      <c r="Q1057" s="431"/>
      <c r="R1057" s="28">
        <f t="shared" si="449"/>
        <v>3.5000000000000003E-2</v>
      </c>
      <c r="S1057" s="17">
        <f t="shared" si="472"/>
        <v>0</v>
      </c>
      <c r="T1057" s="419">
        <f t="shared" si="473"/>
        <v>0</v>
      </c>
      <c r="U1057" s="43"/>
      <c r="V1057" s="44">
        <f t="shared" si="474"/>
        <v>0</v>
      </c>
      <c r="W1057" s="35">
        <f t="shared" si="475"/>
        <v>0</v>
      </c>
      <c r="X1057" s="35"/>
      <c r="Y1057" s="45">
        <f t="shared" si="476"/>
        <v>0</v>
      </c>
      <c r="Z1057" s="45" t="e">
        <f t="shared" si="477"/>
        <v>#DIV/0!</v>
      </c>
    </row>
    <row r="1058" spans="3:26" ht="15" hidden="1" outlineLevel="2">
      <c r="C1058" s="1464"/>
      <c r="D1058" s="1464"/>
      <c r="E1058" s="1459"/>
      <c r="F1058" s="1462"/>
      <c r="G1058" s="343"/>
      <c r="H1058" s="335" t="s">
        <v>22</v>
      </c>
      <c r="I1058" s="341"/>
      <c r="J1058" s="341"/>
      <c r="K1058" s="341"/>
      <c r="L1058" s="341"/>
      <c r="M1058" s="342"/>
      <c r="N1058" s="341"/>
      <c r="O1058" s="338">
        <f t="shared" si="441"/>
        <v>0</v>
      </c>
      <c r="P1058" s="341"/>
      <c r="Q1058" s="431"/>
      <c r="R1058" s="28">
        <f t="shared" si="449"/>
        <v>3.5000000000000003E-2</v>
      </c>
      <c r="S1058" s="17">
        <f t="shared" si="472"/>
        <v>0</v>
      </c>
      <c r="T1058" s="419">
        <f t="shared" si="473"/>
        <v>0</v>
      </c>
      <c r="U1058" s="43"/>
      <c r="V1058" s="44">
        <f t="shared" si="474"/>
        <v>0</v>
      </c>
      <c r="W1058" s="35">
        <f t="shared" si="475"/>
        <v>0</v>
      </c>
      <c r="X1058" s="35"/>
      <c r="Y1058" s="45">
        <f t="shared" si="476"/>
        <v>0</v>
      </c>
      <c r="Z1058" s="45" t="e">
        <f t="shared" si="477"/>
        <v>#DIV/0!</v>
      </c>
    </row>
    <row r="1059" spans="3:26" ht="15" hidden="1" outlineLevel="2">
      <c r="C1059" s="1464"/>
      <c r="D1059" s="1464"/>
      <c r="E1059" s="1459"/>
      <c r="F1059" s="1462"/>
      <c r="G1059" s="344"/>
      <c r="H1059" s="335" t="s">
        <v>22</v>
      </c>
      <c r="I1059" s="345"/>
      <c r="J1059" s="345"/>
      <c r="K1059" s="345"/>
      <c r="L1059" s="345"/>
      <c r="M1059" s="346"/>
      <c r="N1059" s="345"/>
      <c r="O1059" s="338">
        <f t="shared" si="441"/>
        <v>0</v>
      </c>
      <c r="P1059" s="345"/>
      <c r="Q1059" s="432"/>
      <c r="R1059" s="28">
        <f t="shared" si="449"/>
        <v>3.5000000000000003E-2</v>
      </c>
      <c r="S1059" s="17">
        <f t="shared" si="472"/>
        <v>0</v>
      </c>
      <c r="T1059" s="419">
        <f t="shared" si="473"/>
        <v>0</v>
      </c>
      <c r="U1059" s="43"/>
      <c r="V1059" s="44">
        <f t="shared" si="474"/>
        <v>0</v>
      </c>
      <c r="W1059" s="35">
        <f t="shared" si="475"/>
        <v>0</v>
      </c>
      <c r="X1059" s="35"/>
      <c r="Y1059" s="45">
        <f t="shared" si="476"/>
        <v>0</v>
      </c>
      <c r="Z1059" s="45" t="e">
        <f t="shared" si="477"/>
        <v>#DIV/0!</v>
      </c>
    </row>
    <row r="1060" spans="3:26" ht="15" hidden="1" outlineLevel="2">
      <c r="C1060" s="1464"/>
      <c r="D1060" s="1464"/>
      <c r="E1060" s="1459"/>
      <c r="F1060" s="1462"/>
      <c r="G1060" s="343"/>
      <c r="H1060" s="335" t="s">
        <v>22</v>
      </c>
      <c r="I1060" s="341"/>
      <c r="J1060" s="341"/>
      <c r="K1060" s="341"/>
      <c r="L1060" s="341"/>
      <c r="M1060" s="342"/>
      <c r="N1060" s="341"/>
      <c r="O1060" s="338">
        <f t="shared" si="441"/>
        <v>0</v>
      </c>
      <c r="P1060" s="341"/>
      <c r="Q1060" s="431"/>
      <c r="R1060" s="28">
        <f t="shared" si="449"/>
        <v>3.5000000000000003E-2</v>
      </c>
      <c r="S1060" s="17">
        <f t="shared" si="472"/>
        <v>0</v>
      </c>
      <c r="T1060" s="419">
        <f t="shared" si="473"/>
        <v>0</v>
      </c>
      <c r="U1060" s="43"/>
      <c r="V1060" s="44">
        <f t="shared" si="474"/>
        <v>0</v>
      </c>
      <c r="W1060" s="35">
        <f t="shared" si="475"/>
        <v>0</v>
      </c>
      <c r="X1060" s="35"/>
      <c r="Y1060" s="45">
        <f t="shared" si="476"/>
        <v>0</v>
      </c>
      <c r="Z1060" s="45" t="e">
        <f t="shared" si="477"/>
        <v>#DIV/0!</v>
      </c>
    </row>
    <row r="1061" spans="3:26" ht="15" hidden="1" outlineLevel="2">
      <c r="C1061" s="1464"/>
      <c r="D1061" s="1464"/>
      <c r="E1061" s="1459"/>
      <c r="F1061" s="1462"/>
      <c r="G1061" s="1454" t="s">
        <v>44</v>
      </c>
      <c r="H1061" s="1455"/>
      <c r="I1061" s="371">
        <f>SUM(I1051:I1060)</f>
        <v>0</v>
      </c>
      <c r="J1061" s="371">
        <f t="shared" ref="J1061" si="478">SUM(J1051:J1060)</f>
        <v>0</v>
      </c>
      <c r="K1061" s="371">
        <f>SUMIFS(K1051:K1060,K1051:K1060,"&lt;&gt;",K1051:K1060,"&lt;"&amp;99^99)</f>
        <v>0</v>
      </c>
      <c r="L1061" s="371">
        <f>SUMIFS(L1051:L1060,L1051:L1060,"&lt;&gt;",L1051:L1060,"&lt;"&amp;99^99)</f>
        <v>0</v>
      </c>
      <c r="M1061" s="359"/>
      <c r="N1061" s="371">
        <f>N1051</f>
        <v>0</v>
      </c>
      <c r="O1061" s="367">
        <f t="shared" si="441"/>
        <v>0</v>
      </c>
      <c r="P1061" s="371">
        <f t="shared" ref="P1061:Q1061" si="479">SUM(P1051:P1060)</f>
        <v>0</v>
      </c>
      <c r="Q1061" s="438">
        <f t="shared" si="479"/>
        <v>0</v>
      </c>
      <c r="R1061" s="37" t="str">
        <f t="shared" si="449"/>
        <v/>
      </c>
      <c r="S1061" s="37">
        <f>SUM(S1051:S1060)</f>
        <v>0</v>
      </c>
      <c r="T1061" s="420">
        <f t="shared" ref="T1061" si="480">SUM(T1051:T1060)</f>
        <v>0</v>
      </c>
      <c r="U1061" s="37"/>
      <c r="V1061" s="37"/>
      <c r="W1061" s="37">
        <f t="shared" ref="W1061" si="481">SUM(W1051:W1060)</f>
        <v>0</v>
      </c>
      <c r="X1061" s="37"/>
      <c r="Y1061" s="37">
        <f t="shared" ref="Y1061" si="482">SUM(Y1051:Y1060)</f>
        <v>0</v>
      </c>
      <c r="Z1061" s="37">
        <f>SUMIFS(Z1051:Z1060,Y1051:Y1060,"&lt;&gt;",Z1051:Z1060,"&lt;"&amp;99^99)</f>
        <v>0</v>
      </c>
    </row>
    <row r="1062" spans="3:26" ht="15" hidden="1" outlineLevel="1" collapsed="1">
      <c r="C1062" s="1464"/>
      <c r="D1062" s="1464"/>
      <c r="E1062" s="1459"/>
      <c r="F1062" s="1463"/>
      <c r="G1062" s="1454" t="s">
        <v>177</v>
      </c>
      <c r="H1062" s="1455"/>
      <c r="I1062" s="371">
        <f>(I1039/usdrate)+(I1050*jodrate)+I1061</f>
        <v>0</v>
      </c>
      <c r="J1062" s="371">
        <f>(J1039/usdrate)+(J1050*jodrate)+J1061</f>
        <v>0</v>
      </c>
      <c r="K1062" s="371">
        <f>(K1039/usdrate)+(K1050*jodrate)+K1061</f>
        <v>0</v>
      </c>
      <c r="L1062" s="371">
        <f>(L1039/usdrate)+(L1050*jodrate)+L1061</f>
        <v>0</v>
      </c>
      <c r="M1062" s="359"/>
      <c r="N1062" s="371">
        <f>(N1039/usdrate)+(N1050*jodrate)+N1061</f>
        <v>0</v>
      </c>
      <c r="O1062" s="367">
        <f t="shared" si="441"/>
        <v>0</v>
      </c>
      <c r="P1062" s="371">
        <f>(P1039/usdrate)+(P1050*jodrate)+P1061</f>
        <v>0</v>
      </c>
      <c r="Q1062" s="438">
        <f>(Q1039/usdrate)+(Q1050*jodrate)+Q1061</f>
        <v>0</v>
      </c>
      <c r="R1062" s="242"/>
      <c r="S1062" s="37">
        <f t="shared" ref="S1062:W1062" si="483">(S1039/usdrate)+(S1050*jodrate)+S1061</f>
        <v>0</v>
      </c>
      <c r="T1062" s="420">
        <f t="shared" si="483"/>
        <v>0</v>
      </c>
      <c r="U1062" s="37">
        <f t="shared" si="483"/>
        <v>0</v>
      </c>
      <c r="V1062" s="37">
        <f t="shared" si="483"/>
        <v>0</v>
      </c>
      <c r="W1062" s="37">
        <f t="shared" si="483"/>
        <v>0</v>
      </c>
      <c r="X1062" s="37"/>
      <c r="Y1062" s="37">
        <f t="shared" ref="Y1062:Z1062" si="484">(Y1039/usdrate)+(Y1050*jodrate)+Y1061</f>
        <v>0</v>
      </c>
      <c r="Z1062" s="37">
        <f t="shared" si="484"/>
        <v>0</v>
      </c>
    </row>
    <row r="1063" spans="3:26" ht="15" hidden="1" outlineLevel="2">
      <c r="C1063" s="1464"/>
      <c r="D1063" s="1464"/>
      <c r="E1063" s="1459"/>
      <c r="F1063" s="1461" t="s">
        <v>170</v>
      </c>
      <c r="G1063" s="353"/>
      <c r="H1063" s="340" t="s">
        <v>4</v>
      </c>
      <c r="I1063" s="341"/>
      <c r="J1063" s="341"/>
      <c r="K1063" s="370"/>
      <c r="L1063" s="370"/>
      <c r="M1063" s="337"/>
      <c r="N1063" s="336"/>
      <c r="O1063" s="338">
        <f t="shared" si="441"/>
        <v>0</v>
      </c>
      <c r="P1063" s="341"/>
      <c r="Q1063" s="431"/>
      <c r="T1063" s="418"/>
    </row>
    <row r="1064" spans="3:26" ht="15" hidden="1" outlineLevel="2">
      <c r="C1064" s="1464"/>
      <c r="D1064" s="1464"/>
      <c r="E1064" s="1459"/>
      <c r="F1064" s="1462"/>
      <c r="G1064" s="343"/>
      <c r="H1064" s="340" t="s">
        <v>4</v>
      </c>
      <c r="I1064" s="341"/>
      <c r="J1064" s="341"/>
      <c r="K1064" s="341"/>
      <c r="L1064" s="341"/>
      <c r="M1064" s="342"/>
      <c r="N1064" s="341">
        <v>0</v>
      </c>
      <c r="O1064" s="338">
        <f t="shared" si="441"/>
        <v>0</v>
      </c>
      <c r="P1064" s="341"/>
      <c r="Q1064" s="431"/>
      <c r="T1064" s="418"/>
    </row>
    <row r="1065" spans="3:26" ht="15" hidden="1" outlineLevel="2">
      <c r="C1065" s="1464"/>
      <c r="D1065" s="1464"/>
      <c r="E1065" s="1459"/>
      <c r="F1065" s="1462"/>
      <c r="G1065" s="343"/>
      <c r="H1065" s="340" t="s">
        <v>4</v>
      </c>
      <c r="I1065" s="341"/>
      <c r="J1065" s="341"/>
      <c r="K1065" s="341"/>
      <c r="L1065" s="341"/>
      <c r="M1065" s="337"/>
      <c r="N1065" s="341"/>
      <c r="O1065" s="338">
        <f t="shared" si="441"/>
        <v>0</v>
      </c>
      <c r="P1065" s="341"/>
      <c r="Q1065" s="431"/>
      <c r="T1065" s="418"/>
    </row>
    <row r="1066" spans="3:26" ht="15" hidden="1" outlineLevel="2">
      <c r="C1066" s="1464"/>
      <c r="D1066" s="1464"/>
      <c r="E1066" s="1459"/>
      <c r="F1066" s="1462"/>
      <c r="G1066" s="343"/>
      <c r="H1066" s="340" t="s">
        <v>4</v>
      </c>
      <c r="I1066" s="341"/>
      <c r="J1066" s="341"/>
      <c r="K1066" s="341"/>
      <c r="L1066" s="341"/>
      <c r="M1066" s="342"/>
      <c r="N1066" s="341"/>
      <c r="O1066" s="338">
        <f t="shared" si="441"/>
        <v>0</v>
      </c>
      <c r="P1066" s="341"/>
      <c r="Q1066" s="431"/>
      <c r="T1066" s="418"/>
    </row>
    <row r="1067" spans="3:26" ht="15" hidden="1" outlineLevel="2">
      <c r="C1067" s="1464"/>
      <c r="D1067" s="1464"/>
      <c r="E1067" s="1459"/>
      <c r="F1067" s="1462"/>
      <c r="G1067" s="343"/>
      <c r="H1067" s="340" t="s">
        <v>4</v>
      </c>
      <c r="I1067" s="341"/>
      <c r="J1067" s="341"/>
      <c r="K1067" s="341"/>
      <c r="L1067" s="341"/>
      <c r="M1067" s="342"/>
      <c r="N1067" s="341"/>
      <c r="O1067" s="338">
        <f t="shared" si="441"/>
        <v>0</v>
      </c>
      <c r="P1067" s="341"/>
      <c r="Q1067" s="431"/>
      <c r="T1067" s="418"/>
    </row>
    <row r="1068" spans="3:26" ht="15" hidden="1" outlineLevel="2">
      <c r="C1068" s="1464"/>
      <c r="D1068" s="1464"/>
      <c r="E1068" s="1459"/>
      <c r="F1068" s="1462"/>
      <c r="G1068" s="343"/>
      <c r="H1068" s="340" t="s">
        <v>4</v>
      </c>
      <c r="I1068" s="341"/>
      <c r="J1068" s="341"/>
      <c r="K1068" s="341"/>
      <c r="L1068" s="341"/>
      <c r="M1068" s="342"/>
      <c r="N1068" s="341"/>
      <c r="O1068" s="338">
        <f t="shared" si="441"/>
        <v>0</v>
      </c>
      <c r="P1068" s="341"/>
      <c r="Q1068" s="431"/>
      <c r="T1068" s="418"/>
    </row>
    <row r="1069" spans="3:26" ht="15" hidden="1" outlineLevel="2">
      <c r="C1069" s="1464"/>
      <c r="D1069" s="1464"/>
      <c r="E1069" s="1459"/>
      <c r="F1069" s="1462"/>
      <c r="G1069" s="343"/>
      <c r="H1069" s="340" t="s">
        <v>4</v>
      </c>
      <c r="I1069" s="341"/>
      <c r="J1069" s="341"/>
      <c r="K1069" s="341"/>
      <c r="L1069" s="341"/>
      <c r="M1069" s="342"/>
      <c r="N1069" s="341"/>
      <c r="O1069" s="338">
        <f t="shared" si="441"/>
        <v>0</v>
      </c>
      <c r="P1069" s="341"/>
      <c r="Q1069" s="431"/>
      <c r="T1069" s="418"/>
    </row>
    <row r="1070" spans="3:26" ht="15" hidden="1" outlineLevel="2">
      <c r="C1070" s="1464"/>
      <c r="D1070" s="1464"/>
      <c r="E1070" s="1459"/>
      <c r="F1070" s="1462"/>
      <c r="G1070" s="343"/>
      <c r="H1070" s="340" t="s">
        <v>4</v>
      </c>
      <c r="I1070" s="341"/>
      <c r="J1070" s="341"/>
      <c r="K1070" s="341"/>
      <c r="L1070" s="341"/>
      <c r="M1070" s="342"/>
      <c r="N1070" s="341"/>
      <c r="O1070" s="338">
        <f t="shared" si="441"/>
        <v>0</v>
      </c>
      <c r="P1070" s="341"/>
      <c r="Q1070" s="431"/>
      <c r="T1070" s="418"/>
    </row>
    <row r="1071" spans="3:26" ht="15" hidden="1" outlineLevel="2">
      <c r="C1071" s="1464"/>
      <c r="D1071" s="1464"/>
      <c r="E1071" s="1459"/>
      <c r="F1071" s="1462"/>
      <c r="G1071" s="344"/>
      <c r="H1071" s="340" t="s">
        <v>4</v>
      </c>
      <c r="I1071" s="345"/>
      <c r="J1071" s="345"/>
      <c r="K1071" s="345"/>
      <c r="L1071" s="345"/>
      <c r="M1071" s="346"/>
      <c r="N1071" s="345"/>
      <c r="O1071" s="338">
        <f t="shared" si="441"/>
        <v>0</v>
      </c>
      <c r="P1071" s="345"/>
      <c r="Q1071" s="432"/>
      <c r="T1071" s="418"/>
    </row>
    <row r="1072" spans="3:26" ht="15" hidden="1" outlineLevel="2">
      <c r="C1072" s="1464"/>
      <c r="D1072" s="1464"/>
      <c r="E1072" s="1459"/>
      <c r="F1072" s="1462"/>
      <c r="G1072" s="343"/>
      <c r="H1072" s="340" t="s">
        <v>4</v>
      </c>
      <c r="I1072" s="341"/>
      <c r="J1072" s="341"/>
      <c r="K1072" s="341"/>
      <c r="L1072" s="341"/>
      <c r="M1072" s="342"/>
      <c r="N1072" s="341"/>
      <c r="O1072" s="338">
        <f t="shared" si="441"/>
        <v>0</v>
      </c>
      <c r="P1072" s="341"/>
      <c r="Q1072" s="431"/>
      <c r="T1072" s="418"/>
    </row>
    <row r="1073" spans="3:20" ht="15" hidden="1" outlineLevel="2">
      <c r="C1073" s="1464"/>
      <c r="D1073" s="1464"/>
      <c r="E1073" s="1459"/>
      <c r="F1073" s="1462"/>
      <c r="G1073" s="1454" t="s">
        <v>45</v>
      </c>
      <c r="H1073" s="1455"/>
      <c r="I1073" s="371">
        <f>SUM(I1063:I1072)</f>
        <v>0</v>
      </c>
      <c r="J1073" s="371">
        <f t="shared" ref="J1073:K1073" si="485">SUM(J1063:J1072)</f>
        <v>0</v>
      </c>
      <c r="K1073" s="371">
        <f t="shared" si="485"/>
        <v>0</v>
      </c>
      <c r="L1073" s="371">
        <f t="shared" ref="L1073" si="486">SUM(L1063:L1072)</f>
        <v>0</v>
      </c>
      <c r="M1073" s="359"/>
      <c r="N1073" s="371">
        <f>N1063</f>
        <v>0</v>
      </c>
      <c r="O1073" s="367">
        <f t="shared" si="441"/>
        <v>0</v>
      </c>
      <c r="P1073" s="371">
        <f t="shared" ref="P1073:Q1073" si="487">SUM(P1063:P1072)</f>
        <v>0</v>
      </c>
      <c r="Q1073" s="438">
        <f t="shared" si="487"/>
        <v>0</v>
      </c>
      <c r="T1073" s="418"/>
    </row>
    <row r="1074" spans="3:20" ht="15" hidden="1" outlineLevel="2">
      <c r="C1074" s="1464"/>
      <c r="D1074" s="1464"/>
      <c r="E1074" s="1459"/>
      <c r="F1074" s="1462"/>
      <c r="G1074" s="350"/>
      <c r="H1074" s="335" t="s">
        <v>28</v>
      </c>
      <c r="I1074" s="336"/>
      <c r="J1074" s="336"/>
      <c r="K1074" s="336"/>
      <c r="L1074" s="336"/>
      <c r="M1074" s="337"/>
      <c r="N1074" s="336"/>
      <c r="O1074" s="338">
        <f t="shared" si="441"/>
        <v>0</v>
      </c>
      <c r="P1074" s="336"/>
      <c r="Q1074" s="430"/>
      <c r="T1074" s="418"/>
    </row>
    <row r="1075" spans="3:20" ht="15" hidden="1" outlineLevel="2">
      <c r="C1075" s="1464"/>
      <c r="D1075" s="1464"/>
      <c r="E1075" s="1459"/>
      <c r="F1075" s="1462"/>
      <c r="G1075" s="343"/>
      <c r="H1075" s="335" t="s">
        <v>28</v>
      </c>
      <c r="I1075" s="341"/>
      <c r="J1075" s="341"/>
      <c r="K1075" s="341"/>
      <c r="L1075" s="341"/>
      <c r="M1075" s="342"/>
      <c r="N1075" s="341"/>
      <c r="O1075" s="338">
        <f t="shared" si="441"/>
        <v>0</v>
      </c>
      <c r="P1075" s="341"/>
      <c r="Q1075" s="431"/>
      <c r="T1075" s="418"/>
    </row>
    <row r="1076" spans="3:20" ht="15" hidden="1" outlineLevel="2">
      <c r="C1076" s="1464"/>
      <c r="D1076" s="1464"/>
      <c r="E1076" s="1459"/>
      <c r="F1076" s="1462"/>
      <c r="G1076" s="343"/>
      <c r="H1076" s="335" t="s">
        <v>28</v>
      </c>
      <c r="I1076" s="341"/>
      <c r="J1076" s="341"/>
      <c r="K1076" s="341"/>
      <c r="L1076" s="341"/>
      <c r="M1076" s="337"/>
      <c r="N1076" s="341"/>
      <c r="O1076" s="338">
        <f t="shared" si="441"/>
        <v>0</v>
      </c>
      <c r="P1076" s="341"/>
      <c r="Q1076" s="431"/>
      <c r="T1076" s="418"/>
    </row>
    <row r="1077" spans="3:20" ht="15" hidden="1" outlineLevel="2">
      <c r="C1077" s="1464"/>
      <c r="D1077" s="1464"/>
      <c r="E1077" s="1459"/>
      <c r="F1077" s="1462"/>
      <c r="G1077" s="343"/>
      <c r="H1077" s="335" t="s">
        <v>28</v>
      </c>
      <c r="I1077" s="341"/>
      <c r="J1077" s="341"/>
      <c r="K1077" s="341"/>
      <c r="L1077" s="341"/>
      <c r="M1077" s="342"/>
      <c r="N1077" s="341"/>
      <c r="O1077" s="338">
        <f t="shared" si="441"/>
        <v>0</v>
      </c>
      <c r="P1077" s="341"/>
      <c r="Q1077" s="431"/>
      <c r="T1077" s="418"/>
    </row>
    <row r="1078" spans="3:20" ht="15" hidden="1" outlineLevel="2">
      <c r="C1078" s="1464"/>
      <c r="D1078" s="1464"/>
      <c r="E1078" s="1459"/>
      <c r="F1078" s="1462"/>
      <c r="G1078" s="343"/>
      <c r="H1078" s="335" t="s">
        <v>28</v>
      </c>
      <c r="I1078" s="341"/>
      <c r="J1078" s="341"/>
      <c r="K1078" s="341"/>
      <c r="L1078" s="341"/>
      <c r="M1078" s="342"/>
      <c r="N1078" s="341"/>
      <c r="O1078" s="338">
        <f t="shared" si="441"/>
        <v>0</v>
      </c>
      <c r="P1078" s="341"/>
      <c r="Q1078" s="431"/>
      <c r="T1078" s="418"/>
    </row>
    <row r="1079" spans="3:20" ht="15" hidden="1" outlineLevel="2">
      <c r="C1079" s="1464"/>
      <c r="D1079" s="1464"/>
      <c r="E1079" s="1459"/>
      <c r="F1079" s="1462"/>
      <c r="G1079" s="343"/>
      <c r="H1079" s="335" t="s">
        <v>28</v>
      </c>
      <c r="I1079" s="341"/>
      <c r="J1079" s="341"/>
      <c r="K1079" s="341"/>
      <c r="L1079" s="341"/>
      <c r="M1079" s="342"/>
      <c r="N1079" s="341"/>
      <c r="O1079" s="338">
        <f t="shared" si="441"/>
        <v>0</v>
      </c>
      <c r="P1079" s="341"/>
      <c r="Q1079" s="431"/>
      <c r="T1079" s="418"/>
    </row>
    <row r="1080" spans="3:20" ht="15" hidden="1" outlineLevel="2">
      <c r="C1080" s="1464"/>
      <c r="D1080" s="1464"/>
      <c r="E1080" s="1459"/>
      <c r="F1080" s="1462"/>
      <c r="G1080" s="343"/>
      <c r="H1080" s="335" t="s">
        <v>28</v>
      </c>
      <c r="I1080" s="341"/>
      <c r="J1080" s="341"/>
      <c r="K1080" s="341"/>
      <c r="L1080" s="341"/>
      <c r="M1080" s="342"/>
      <c r="N1080" s="341"/>
      <c r="O1080" s="338">
        <f t="shared" si="441"/>
        <v>0</v>
      </c>
      <c r="P1080" s="341"/>
      <c r="Q1080" s="431"/>
      <c r="T1080" s="418"/>
    </row>
    <row r="1081" spans="3:20" ht="15" hidden="1" outlineLevel="2">
      <c r="C1081" s="1464"/>
      <c r="D1081" s="1464"/>
      <c r="E1081" s="1459"/>
      <c r="F1081" s="1462"/>
      <c r="G1081" s="343"/>
      <c r="H1081" s="335" t="s">
        <v>28</v>
      </c>
      <c r="I1081" s="341"/>
      <c r="J1081" s="341"/>
      <c r="K1081" s="341"/>
      <c r="L1081" s="341"/>
      <c r="M1081" s="342"/>
      <c r="N1081" s="341"/>
      <c r="O1081" s="338">
        <f t="shared" si="441"/>
        <v>0</v>
      </c>
      <c r="P1081" s="341"/>
      <c r="Q1081" s="431"/>
      <c r="T1081" s="418"/>
    </row>
    <row r="1082" spans="3:20" ht="15" hidden="1" outlineLevel="2">
      <c r="C1082" s="1464"/>
      <c r="D1082" s="1464"/>
      <c r="E1082" s="1459"/>
      <c r="F1082" s="1462"/>
      <c r="G1082" s="344"/>
      <c r="H1082" s="335" t="s">
        <v>28</v>
      </c>
      <c r="I1082" s="345"/>
      <c r="J1082" s="345"/>
      <c r="K1082" s="345"/>
      <c r="L1082" s="345"/>
      <c r="M1082" s="346"/>
      <c r="N1082" s="345"/>
      <c r="O1082" s="338">
        <f t="shared" si="441"/>
        <v>0</v>
      </c>
      <c r="P1082" s="345"/>
      <c r="Q1082" s="432"/>
      <c r="T1082" s="418"/>
    </row>
    <row r="1083" spans="3:20" ht="15" hidden="1" outlineLevel="2">
      <c r="C1083" s="1464"/>
      <c r="D1083" s="1464"/>
      <c r="E1083" s="1459"/>
      <c r="F1083" s="1462"/>
      <c r="G1083" s="343"/>
      <c r="H1083" s="335" t="s">
        <v>28</v>
      </c>
      <c r="I1083" s="341"/>
      <c r="J1083" s="341"/>
      <c r="K1083" s="341"/>
      <c r="L1083" s="341"/>
      <c r="M1083" s="342"/>
      <c r="N1083" s="341"/>
      <c r="O1083" s="338">
        <f t="shared" si="441"/>
        <v>0</v>
      </c>
      <c r="P1083" s="341"/>
      <c r="Q1083" s="431"/>
      <c r="T1083" s="418"/>
    </row>
    <row r="1084" spans="3:20" ht="15" hidden="1" outlineLevel="2">
      <c r="C1084" s="1464"/>
      <c r="D1084" s="1464"/>
      <c r="E1084" s="1459"/>
      <c r="F1084" s="1462"/>
      <c r="G1084" s="1454" t="s">
        <v>51</v>
      </c>
      <c r="H1084" s="1455"/>
      <c r="I1084" s="371">
        <f>SUM(I1074:I1083)</f>
        <v>0</v>
      </c>
      <c r="J1084" s="371">
        <f t="shared" ref="J1084:K1084" si="488">SUM(J1074:J1083)</f>
        <v>0</v>
      </c>
      <c r="K1084" s="371">
        <f t="shared" si="488"/>
        <v>0</v>
      </c>
      <c r="L1084" s="371">
        <f t="shared" ref="L1084" si="489">SUM(L1074:L1083)</f>
        <v>0</v>
      </c>
      <c r="M1084" s="359"/>
      <c r="N1084" s="371">
        <f>N1074</f>
        <v>0</v>
      </c>
      <c r="O1084" s="367">
        <f t="shared" si="441"/>
        <v>0</v>
      </c>
      <c r="P1084" s="371">
        <f t="shared" ref="P1084:Q1084" si="490">SUM(P1074:P1083)</f>
        <v>0</v>
      </c>
      <c r="Q1084" s="438">
        <f t="shared" si="490"/>
        <v>0</v>
      </c>
      <c r="T1084" s="418"/>
    </row>
    <row r="1085" spans="3:20" ht="15" hidden="1" outlineLevel="2">
      <c r="C1085" s="1464"/>
      <c r="D1085" s="1464"/>
      <c r="E1085" s="1459"/>
      <c r="F1085" s="1462"/>
      <c r="G1085" s="350"/>
      <c r="H1085" s="335" t="s">
        <v>22</v>
      </c>
      <c r="I1085" s="336"/>
      <c r="J1085" s="336"/>
      <c r="K1085" s="336"/>
      <c r="L1085" s="336"/>
      <c r="M1085" s="337"/>
      <c r="N1085" s="336"/>
      <c r="O1085" s="338">
        <f t="shared" si="441"/>
        <v>0</v>
      </c>
      <c r="P1085" s="336"/>
      <c r="Q1085" s="430"/>
      <c r="T1085" s="418"/>
    </row>
    <row r="1086" spans="3:20" ht="15" hidden="1" outlineLevel="2">
      <c r="C1086" s="1464"/>
      <c r="D1086" s="1464"/>
      <c r="E1086" s="1459"/>
      <c r="F1086" s="1462"/>
      <c r="G1086" s="343"/>
      <c r="H1086" s="335" t="s">
        <v>22</v>
      </c>
      <c r="I1086" s="341"/>
      <c r="J1086" s="341"/>
      <c r="K1086" s="341"/>
      <c r="L1086" s="341"/>
      <c r="M1086" s="342"/>
      <c r="N1086" s="341"/>
      <c r="O1086" s="338">
        <f t="shared" si="441"/>
        <v>0</v>
      </c>
      <c r="P1086" s="341"/>
      <c r="Q1086" s="431"/>
      <c r="T1086" s="418"/>
    </row>
    <row r="1087" spans="3:20" ht="15" hidden="1" outlineLevel="2">
      <c r="C1087" s="1464"/>
      <c r="D1087" s="1464"/>
      <c r="E1087" s="1459"/>
      <c r="F1087" s="1462"/>
      <c r="G1087" s="343"/>
      <c r="H1087" s="335" t="s">
        <v>22</v>
      </c>
      <c r="I1087" s="341"/>
      <c r="J1087" s="341"/>
      <c r="K1087" s="341"/>
      <c r="L1087" s="341"/>
      <c r="M1087" s="337"/>
      <c r="N1087" s="341"/>
      <c r="O1087" s="338">
        <f t="shared" si="441"/>
        <v>0</v>
      </c>
      <c r="P1087" s="341"/>
      <c r="Q1087" s="431"/>
      <c r="T1087" s="418"/>
    </row>
    <row r="1088" spans="3:20" ht="15" hidden="1" outlineLevel="2">
      <c r="C1088" s="1464"/>
      <c r="D1088" s="1464"/>
      <c r="E1088" s="1459"/>
      <c r="F1088" s="1462"/>
      <c r="G1088" s="343"/>
      <c r="H1088" s="335" t="s">
        <v>22</v>
      </c>
      <c r="I1088" s="341"/>
      <c r="J1088" s="341"/>
      <c r="K1088" s="341"/>
      <c r="L1088" s="341"/>
      <c r="M1088" s="342"/>
      <c r="N1088" s="341"/>
      <c r="O1088" s="338">
        <f t="shared" ref="O1088:O1151" si="491">IF(N1088=0,0,N1088/J1088)</f>
        <v>0</v>
      </c>
      <c r="P1088" s="341"/>
      <c r="Q1088" s="431"/>
      <c r="T1088" s="418"/>
    </row>
    <row r="1089" spans="3:20" ht="15" hidden="1" outlineLevel="2">
      <c r="C1089" s="1464"/>
      <c r="D1089" s="1464"/>
      <c r="E1089" s="1459"/>
      <c r="F1089" s="1462"/>
      <c r="G1089" s="343"/>
      <c r="H1089" s="335" t="s">
        <v>22</v>
      </c>
      <c r="I1089" s="341"/>
      <c r="J1089" s="341"/>
      <c r="K1089" s="341"/>
      <c r="L1089" s="341"/>
      <c r="M1089" s="342"/>
      <c r="N1089" s="341"/>
      <c r="O1089" s="338">
        <f t="shared" si="491"/>
        <v>0</v>
      </c>
      <c r="P1089" s="341"/>
      <c r="Q1089" s="431"/>
      <c r="T1089" s="418"/>
    </row>
    <row r="1090" spans="3:20" ht="15" hidden="1" outlineLevel="2">
      <c r="C1090" s="1464"/>
      <c r="D1090" s="1464"/>
      <c r="E1090" s="1459"/>
      <c r="F1090" s="1462"/>
      <c r="G1090" s="343"/>
      <c r="H1090" s="335" t="s">
        <v>22</v>
      </c>
      <c r="I1090" s="341"/>
      <c r="J1090" s="341"/>
      <c r="K1090" s="341"/>
      <c r="L1090" s="341"/>
      <c r="M1090" s="342"/>
      <c r="N1090" s="341"/>
      <c r="O1090" s="338">
        <f t="shared" si="491"/>
        <v>0</v>
      </c>
      <c r="P1090" s="341"/>
      <c r="Q1090" s="431"/>
      <c r="T1090" s="418"/>
    </row>
    <row r="1091" spans="3:20" ht="15" hidden="1" outlineLevel="2">
      <c r="C1091" s="1464"/>
      <c r="D1091" s="1464"/>
      <c r="E1091" s="1459"/>
      <c r="F1091" s="1462"/>
      <c r="G1091" s="343"/>
      <c r="H1091" s="335" t="s">
        <v>22</v>
      </c>
      <c r="I1091" s="341"/>
      <c r="J1091" s="341"/>
      <c r="K1091" s="341"/>
      <c r="L1091" s="341"/>
      <c r="M1091" s="342"/>
      <c r="N1091" s="341"/>
      <c r="O1091" s="338">
        <f t="shared" si="491"/>
        <v>0</v>
      </c>
      <c r="P1091" s="341"/>
      <c r="Q1091" s="431"/>
      <c r="T1091" s="418"/>
    </row>
    <row r="1092" spans="3:20" ht="15" hidden="1" outlineLevel="2">
      <c r="C1092" s="1464"/>
      <c r="D1092" s="1464"/>
      <c r="E1092" s="1459"/>
      <c r="F1092" s="1462"/>
      <c r="G1092" s="343"/>
      <c r="H1092" s="335" t="s">
        <v>22</v>
      </c>
      <c r="I1092" s="341"/>
      <c r="J1092" s="341"/>
      <c r="K1092" s="341"/>
      <c r="L1092" s="341"/>
      <c r="M1092" s="342"/>
      <c r="N1092" s="341"/>
      <c r="O1092" s="338">
        <f t="shared" si="491"/>
        <v>0</v>
      </c>
      <c r="P1092" s="341"/>
      <c r="Q1092" s="431"/>
      <c r="T1092" s="418"/>
    </row>
    <row r="1093" spans="3:20" ht="15" hidden="1" outlineLevel="2">
      <c r="C1093" s="1464"/>
      <c r="D1093" s="1464"/>
      <c r="E1093" s="1459"/>
      <c r="F1093" s="1462"/>
      <c r="G1093" s="344"/>
      <c r="H1093" s="335" t="s">
        <v>22</v>
      </c>
      <c r="I1093" s="345"/>
      <c r="J1093" s="345"/>
      <c r="K1093" s="345"/>
      <c r="L1093" s="345"/>
      <c r="M1093" s="346"/>
      <c r="N1093" s="345"/>
      <c r="O1093" s="338">
        <f t="shared" si="491"/>
        <v>0</v>
      </c>
      <c r="P1093" s="345"/>
      <c r="Q1093" s="432"/>
      <c r="T1093" s="418"/>
    </row>
    <row r="1094" spans="3:20" ht="15" hidden="1" outlineLevel="2">
      <c r="C1094" s="1464"/>
      <c r="D1094" s="1464"/>
      <c r="E1094" s="1459"/>
      <c r="F1094" s="1462"/>
      <c r="G1094" s="343"/>
      <c r="H1094" s="335" t="s">
        <v>22</v>
      </c>
      <c r="I1094" s="341"/>
      <c r="J1094" s="341"/>
      <c r="K1094" s="341"/>
      <c r="L1094" s="341"/>
      <c r="M1094" s="342"/>
      <c r="N1094" s="341"/>
      <c r="O1094" s="338">
        <f t="shared" si="491"/>
        <v>0</v>
      </c>
      <c r="P1094" s="341"/>
      <c r="Q1094" s="431"/>
      <c r="T1094" s="418"/>
    </row>
    <row r="1095" spans="3:20" ht="15" hidden="1" outlineLevel="2">
      <c r="C1095" s="1464"/>
      <c r="D1095" s="1464"/>
      <c r="E1095" s="1459"/>
      <c r="F1095" s="1462"/>
      <c r="G1095" s="1454" t="s">
        <v>44</v>
      </c>
      <c r="H1095" s="1455"/>
      <c r="I1095" s="371">
        <f>SUM(I1085:I1094)</f>
        <v>0</v>
      </c>
      <c r="J1095" s="371">
        <f t="shared" ref="J1095:K1095" si="492">SUM(J1085:J1094)</f>
        <v>0</v>
      </c>
      <c r="K1095" s="371">
        <f t="shared" si="492"/>
        <v>0</v>
      </c>
      <c r="L1095" s="371">
        <f t="shared" ref="L1095" si="493">SUM(L1085:L1094)</f>
        <v>0</v>
      </c>
      <c r="M1095" s="359"/>
      <c r="N1095" s="371">
        <f>N1085</f>
        <v>0</v>
      </c>
      <c r="O1095" s="367">
        <f t="shared" si="491"/>
        <v>0</v>
      </c>
      <c r="P1095" s="371">
        <f t="shared" ref="P1095:Q1095" si="494">SUM(P1085:P1094)</f>
        <v>0</v>
      </c>
      <c r="Q1095" s="438">
        <f t="shared" si="494"/>
        <v>0</v>
      </c>
      <c r="T1095" s="418"/>
    </row>
    <row r="1096" spans="3:20" ht="15" hidden="1" outlineLevel="1" collapsed="1">
      <c r="C1096" s="1464"/>
      <c r="D1096" s="1464"/>
      <c r="E1096" s="1459"/>
      <c r="F1096" s="1463"/>
      <c r="G1096" s="1454" t="s">
        <v>177</v>
      </c>
      <c r="H1096" s="1455"/>
      <c r="I1096" s="371">
        <f>(I1073/usdrate)+(I1084*jodrate)+I1095</f>
        <v>0</v>
      </c>
      <c r="J1096" s="371">
        <f>(J1073/usdrate)+(J1084*jodrate)+J1095</f>
        <v>0</v>
      </c>
      <c r="K1096" s="371">
        <f>(K1073/usdrate)+(K1084*jodrate)+K1095</f>
        <v>0</v>
      </c>
      <c r="L1096" s="371">
        <f>(L1073/usdrate)+(L1084*jodrate)+L1095</f>
        <v>0</v>
      </c>
      <c r="M1096" s="359"/>
      <c r="N1096" s="371">
        <f>(N1073/usdrate)+(N1084*jodrate)+N1095</f>
        <v>0</v>
      </c>
      <c r="O1096" s="367">
        <f t="shared" si="491"/>
        <v>0</v>
      </c>
      <c r="P1096" s="371">
        <f>(P1073/usdrate)+(P1084*jodrate)+P1095</f>
        <v>0</v>
      </c>
      <c r="Q1096" s="438">
        <f>(Q1073/usdrate)+(Q1084*jodrate)+Q1095</f>
        <v>0</v>
      </c>
      <c r="T1096" s="418"/>
    </row>
    <row r="1097" spans="3:20" ht="15" hidden="1" outlineLevel="2">
      <c r="C1097" s="1464"/>
      <c r="D1097" s="1464"/>
      <c r="E1097" s="1459"/>
      <c r="F1097" s="1461" t="s">
        <v>171</v>
      </c>
      <c r="G1097" s="353"/>
      <c r="H1097" s="340" t="s">
        <v>4</v>
      </c>
      <c r="I1097" s="341"/>
      <c r="J1097" s="341"/>
      <c r="K1097" s="370"/>
      <c r="L1097" s="370"/>
      <c r="M1097" s="337"/>
      <c r="N1097" s="336"/>
      <c r="O1097" s="338">
        <f t="shared" si="491"/>
        <v>0</v>
      </c>
      <c r="P1097" s="341"/>
      <c r="Q1097" s="431"/>
      <c r="T1097" s="418"/>
    </row>
    <row r="1098" spans="3:20" ht="15" hidden="1" outlineLevel="2">
      <c r="C1098" s="1464"/>
      <c r="D1098" s="1464"/>
      <c r="E1098" s="1459"/>
      <c r="F1098" s="1462"/>
      <c r="G1098" s="343"/>
      <c r="H1098" s="340" t="s">
        <v>4</v>
      </c>
      <c r="I1098" s="341"/>
      <c r="J1098" s="341"/>
      <c r="K1098" s="341"/>
      <c r="L1098" s="341"/>
      <c r="M1098" s="342"/>
      <c r="N1098" s="341">
        <v>0</v>
      </c>
      <c r="O1098" s="338">
        <f t="shared" si="491"/>
        <v>0</v>
      </c>
      <c r="P1098" s="341"/>
      <c r="Q1098" s="431"/>
      <c r="T1098" s="418"/>
    </row>
    <row r="1099" spans="3:20" ht="15" hidden="1" outlineLevel="2">
      <c r="C1099" s="1464"/>
      <c r="D1099" s="1464"/>
      <c r="E1099" s="1459"/>
      <c r="F1099" s="1462"/>
      <c r="G1099" s="343"/>
      <c r="H1099" s="340" t="s">
        <v>4</v>
      </c>
      <c r="I1099" s="341"/>
      <c r="J1099" s="341"/>
      <c r="K1099" s="341"/>
      <c r="L1099" s="341"/>
      <c r="M1099" s="337"/>
      <c r="N1099" s="341"/>
      <c r="O1099" s="338">
        <f t="shared" si="491"/>
        <v>0</v>
      </c>
      <c r="P1099" s="341"/>
      <c r="Q1099" s="431"/>
      <c r="T1099" s="418"/>
    </row>
    <row r="1100" spans="3:20" ht="15" hidden="1" outlineLevel="2">
      <c r="C1100" s="1464"/>
      <c r="D1100" s="1464"/>
      <c r="E1100" s="1459"/>
      <c r="F1100" s="1462"/>
      <c r="G1100" s="343"/>
      <c r="H1100" s="340" t="s">
        <v>4</v>
      </c>
      <c r="I1100" s="341"/>
      <c r="J1100" s="341"/>
      <c r="K1100" s="341"/>
      <c r="L1100" s="341"/>
      <c r="M1100" s="342"/>
      <c r="N1100" s="341"/>
      <c r="O1100" s="338">
        <f t="shared" si="491"/>
        <v>0</v>
      </c>
      <c r="P1100" s="341"/>
      <c r="Q1100" s="431"/>
      <c r="T1100" s="418"/>
    </row>
    <row r="1101" spans="3:20" ht="15" hidden="1" outlineLevel="2">
      <c r="C1101" s="1464"/>
      <c r="D1101" s="1464"/>
      <c r="E1101" s="1459"/>
      <c r="F1101" s="1462"/>
      <c r="G1101" s="343"/>
      <c r="H1101" s="340" t="s">
        <v>4</v>
      </c>
      <c r="I1101" s="341"/>
      <c r="J1101" s="341"/>
      <c r="K1101" s="341"/>
      <c r="L1101" s="341"/>
      <c r="M1101" s="342"/>
      <c r="N1101" s="341"/>
      <c r="O1101" s="338">
        <f t="shared" si="491"/>
        <v>0</v>
      </c>
      <c r="P1101" s="341"/>
      <c r="Q1101" s="431"/>
      <c r="T1101" s="418"/>
    </row>
    <row r="1102" spans="3:20" ht="15" hidden="1" outlineLevel="2">
      <c r="C1102" s="1464"/>
      <c r="D1102" s="1464"/>
      <c r="E1102" s="1459"/>
      <c r="F1102" s="1462"/>
      <c r="G1102" s="343"/>
      <c r="H1102" s="340" t="s">
        <v>4</v>
      </c>
      <c r="I1102" s="341"/>
      <c r="J1102" s="341"/>
      <c r="K1102" s="341"/>
      <c r="L1102" s="341"/>
      <c r="M1102" s="342"/>
      <c r="N1102" s="341"/>
      <c r="O1102" s="338">
        <f t="shared" si="491"/>
        <v>0</v>
      </c>
      <c r="P1102" s="341"/>
      <c r="Q1102" s="431"/>
      <c r="T1102" s="418"/>
    </row>
    <row r="1103" spans="3:20" ht="15" hidden="1" outlineLevel="2">
      <c r="C1103" s="1464"/>
      <c r="D1103" s="1464"/>
      <c r="E1103" s="1459"/>
      <c r="F1103" s="1462"/>
      <c r="G1103" s="343"/>
      <c r="H1103" s="340" t="s">
        <v>4</v>
      </c>
      <c r="I1103" s="341"/>
      <c r="J1103" s="341"/>
      <c r="K1103" s="341"/>
      <c r="L1103" s="341"/>
      <c r="M1103" s="342"/>
      <c r="N1103" s="341"/>
      <c r="O1103" s="338">
        <f t="shared" si="491"/>
        <v>0</v>
      </c>
      <c r="P1103" s="341"/>
      <c r="Q1103" s="431"/>
      <c r="T1103" s="418"/>
    </row>
    <row r="1104" spans="3:20" ht="15" hidden="1" outlineLevel="2">
      <c r="C1104" s="1464"/>
      <c r="D1104" s="1464"/>
      <c r="E1104" s="1459"/>
      <c r="F1104" s="1462"/>
      <c r="G1104" s="343"/>
      <c r="H1104" s="340" t="s">
        <v>4</v>
      </c>
      <c r="I1104" s="341"/>
      <c r="J1104" s="341"/>
      <c r="K1104" s="341"/>
      <c r="L1104" s="341"/>
      <c r="M1104" s="342"/>
      <c r="N1104" s="341"/>
      <c r="O1104" s="338">
        <f t="shared" si="491"/>
        <v>0</v>
      </c>
      <c r="P1104" s="341"/>
      <c r="Q1104" s="431"/>
      <c r="T1104" s="418"/>
    </row>
    <row r="1105" spans="3:20" ht="15" hidden="1" outlineLevel="2">
      <c r="C1105" s="1464"/>
      <c r="D1105" s="1464"/>
      <c r="E1105" s="1459"/>
      <c r="F1105" s="1462"/>
      <c r="G1105" s="344"/>
      <c r="H1105" s="340" t="s">
        <v>4</v>
      </c>
      <c r="I1105" s="345"/>
      <c r="J1105" s="345"/>
      <c r="K1105" s="345"/>
      <c r="L1105" s="345"/>
      <c r="M1105" s="346"/>
      <c r="N1105" s="345"/>
      <c r="O1105" s="338">
        <f t="shared" si="491"/>
        <v>0</v>
      </c>
      <c r="P1105" s="345"/>
      <c r="Q1105" s="432"/>
      <c r="T1105" s="418"/>
    </row>
    <row r="1106" spans="3:20" ht="15" hidden="1" outlineLevel="2">
      <c r="C1106" s="1464"/>
      <c r="D1106" s="1464"/>
      <c r="E1106" s="1459"/>
      <c r="F1106" s="1462"/>
      <c r="G1106" s="343"/>
      <c r="H1106" s="340" t="s">
        <v>4</v>
      </c>
      <c r="I1106" s="341"/>
      <c r="J1106" s="341"/>
      <c r="K1106" s="341"/>
      <c r="L1106" s="341"/>
      <c r="M1106" s="342"/>
      <c r="N1106" s="341"/>
      <c r="O1106" s="338">
        <f t="shared" si="491"/>
        <v>0</v>
      </c>
      <c r="P1106" s="341"/>
      <c r="Q1106" s="431"/>
      <c r="T1106" s="418"/>
    </row>
    <row r="1107" spans="3:20" ht="15" hidden="1" outlineLevel="2">
      <c r="C1107" s="1464"/>
      <c r="D1107" s="1464"/>
      <c r="E1107" s="1459"/>
      <c r="F1107" s="1462"/>
      <c r="G1107" s="1454" t="s">
        <v>45</v>
      </c>
      <c r="H1107" s="1455"/>
      <c r="I1107" s="371">
        <f>SUM(I1097:I1106)</f>
        <v>0</v>
      </c>
      <c r="J1107" s="371">
        <f t="shared" ref="J1107:K1107" si="495">SUM(J1097:J1106)</f>
        <v>0</v>
      </c>
      <c r="K1107" s="371">
        <f t="shared" si="495"/>
        <v>0</v>
      </c>
      <c r="L1107" s="371">
        <f t="shared" ref="L1107" si="496">SUM(L1097:L1106)</f>
        <v>0</v>
      </c>
      <c r="M1107" s="359"/>
      <c r="N1107" s="371">
        <f>N1097</f>
        <v>0</v>
      </c>
      <c r="O1107" s="367">
        <f t="shared" si="491"/>
        <v>0</v>
      </c>
      <c r="P1107" s="371">
        <f t="shared" ref="P1107:Q1107" si="497">SUM(P1097:P1106)</f>
        <v>0</v>
      </c>
      <c r="Q1107" s="438">
        <f t="shared" si="497"/>
        <v>0</v>
      </c>
      <c r="T1107" s="418"/>
    </row>
    <row r="1108" spans="3:20" ht="15" hidden="1" outlineLevel="2">
      <c r="C1108" s="1464"/>
      <c r="D1108" s="1464"/>
      <c r="E1108" s="1459"/>
      <c r="F1108" s="1462"/>
      <c r="G1108" s="350"/>
      <c r="H1108" s="335" t="s">
        <v>28</v>
      </c>
      <c r="I1108" s="336"/>
      <c r="J1108" s="336"/>
      <c r="K1108" s="336"/>
      <c r="L1108" s="336"/>
      <c r="M1108" s="337"/>
      <c r="N1108" s="336"/>
      <c r="O1108" s="338">
        <f t="shared" si="491"/>
        <v>0</v>
      </c>
      <c r="P1108" s="336"/>
      <c r="Q1108" s="430"/>
      <c r="T1108" s="418"/>
    </row>
    <row r="1109" spans="3:20" ht="15" hidden="1" outlineLevel="2">
      <c r="C1109" s="1464"/>
      <c r="D1109" s="1464"/>
      <c r="E1109" s="1459"/>
      <c r="F1109" s="1462"/>
      <c r="G1109" s="343"/>
      <c r="H1109" s="335" t="s">
        <v>28</v>
      </c>
      <c r="I1109" s="341"/>
      <c r="J1109" s="341"/>
      <c r="K1109" s="341"/>
      <c r="L1109" s="341"/>
      <c r="M1109" s="342"/>
      <c r="N1109" s="341"/>
      <c r="O1109" s="338">
        <f t="shared" si="491"/>
        <v>0</v>
      </c>
      <c r="P1109" s="341"/>
      <c r="Q1109" s="431"/>
      <c r="T1109" s="418"/>
    </row>
    <row r="1110" spans="3:20" ht="15" hidden="1" outlineLevel="2">
      <c r="C1110" s="1464"/>
      <c r="D1110" s="1464"/>
      <c r="E1110" s="1459"/>
      <c r="F1110" s="1462"/>
      <c r="G1110" s="343"/>
      <c r="H1110" s="335" t="s">
        <v>28</v>
      </c>
      <c r="I1110" s="341"/>
      <c r="J1110" s="341"/>
      <c r="K1110" s="341"/>
      <c r="L1110" s="341"/>
      <c r="M1110" s="337"/>
      <c r="N1110" s="341"/>
      <c r="O1110" s="338">
        <f t="shared" si="491"/>
        <v>0</v>
      </c>
      <c r="P1110" s="341"/>
      <c r="Q1110" s="431"/>
      <c r="T1110" s="418"/>
    </row>
    <row r="1111" spans="3:20" ht="15" hidden="1" outlineLevel="2">
      <c r="C1111" s="1464"/>
      <c r="D1111" s="1464"/>
      <c r="E1111" s="1459"/>
      <c r="F1111" s="1462"/>
      <c r="G1111" s="343"/>
      <c r="H1111" s="335" t="s">
        <v>28</v>
      </c>
      <c r="I1111" s="341"/>
      <c r="J1111" s="341"/>
      <c r="K1111" s="341"/>
      <c r="L1111" s="341"/>
      <c r="M1111" s="342"/>
      <c r="N1111" s="341"/>
      <c r="O1111" s="338">
        <f t="shared" si="491"/>
        <v>0</v>
      </c>
      <c r="P1111" s="341"/>
      <c r="Q1111" s="431"/>
      <c r="T1111" s="418"/>
    </row>
    <row r="1112" spans="3:20" ht="15" hidden="1" outlineLevel="2">
      <c r="C1112" s="1464"/>
      <c r="D1112" s="1464"/>
      <c r="E1112" s="1459"/>
      <c r="F1112" s="1462"/>
      <c r="G1112" s="343"/>
      <c r="H1112" s="335" t="s">
        <v>28</v>
      </c>
      <c r="I1112" s="341"/>
      <c r="J1112" s="341"/>
      <c r="K1112" s="341"/>
      <c r="L1112" s="341"/>
      <c r="M1112" s="342"/>
      <c r="N1112" s="341"/>
      <c r="O1112" s="338">
        <f t="shared" si="491"/>
        <v>0</v>
      </c>
      <c r="P1112" s="341"/>
      <c r="Q1112" s="431"/>
      <c r="T1112" s="418"/>
    </row>
    <row r="1113" spans="3:20" ht="15" hidden="1" outlineLevel="2">
      <c r="C1113" s="1464"/>
      <c r="D1113" s="1464"/>
      <c r="E1113" s="1459"/>
      <c r="F1113" s="1462"/>
      <c r="G1113" s="343"/>
      <c r="H1113" s="335" t="s">
        <v>28</v>
      </c>
      <c r="I1113" s="341"/>
      <c r="J1113" s="341"/>
      <c r="K1113" s="341"/>
      <c r="L1113" s="341"/>
      <c r="M1113" s="342"/>
      <c r="N1113" s="341"/>
      <c r="O1113" s="338">
        <f t="shared" si="491"/>
        <v>0</v>
      </c>
      <c r="P1113" s="341"/>
      <c r="Q1113" s="431"/>
      <c r="T1113" s="418"/>
    </row>
    <row r="1114" spans="3:20" ht="15" hidden="1" outlineLevel="2">
      <c r="C1114" s="1464"/>
      <c r="D1114" s="1464"/>
      <c r="E1114" s="1459"/>
      <c r="F1114" s="1462"/>
      <c r="G1114" s="343"/>
      <c r="H1114" s="335" t="s">
        <v>28</v>
      </c>
      <c r="I1114" s="341"/>
      <c r="J1114" s="341"/>
      <c r="K1114" s="341"/>
      <c r="L1114" s="341"/>
      <c r="M1114" s="342"/>
      <c r="N1114" s="341"/>
      <c r="O1114" s="338">
        <f t="shared" si="491"/>
        <v>0</v>
      </c>
      <c r="P1114" s="341"/>
      <c r="Q1114" s="431"/>
      <c r="T1114" s="418"/>
    </row>
    <row r="1115" spans="3:20" ht="15" hidden="1" outlineLevel="2">
      <c r="C1115" s="1464"/>
      <c r="D1115" s="1464"/>
      <c r="E1115" s="1459"/>
      <c r="F1115" s="1462"/>
      <c r="G1115" s="343"/>
      <c r="H1115" s="335" t="s">
        <v>28</v>
      </c>
      <c r="I1115" s="341"/>
      <c r="J1115" s="341"/>
      <c r="K1115" s="341"/>
      <c r="L1115" s="341"/>
      <c r="M1115" s="342"/>
      <c r="N1115" s="341"/>
      <c r="O1115" s="338">
        <f t="shared" si="491"/>
        <v>0</v>
      </c>
      <c r="P1115" s="341"/>
      <c r="Q1115" s="431"/>
      <c r="T1115" s="418"/>
    </row>
    <row r="1116" spans="3:20" ht="15" hidden="1" outlineLevel="2">
      <c r="C1116" s="1464"/>
      <c r="D1116" s="1464"/>
      <c r="E1116" s="1459"/>
      <c r="F1116" s="1462"/>
      <c r="G1116" s="344"/>
      <c r="H1116" s="335" t="s">
        <v>28</v>
      </c>
      <c r="I1116" s="345"/>
      <c r="J1116" s="345"/>
      <c r="K1116" s="345"/>
      <c r="L1116" s="345"/>
      <c r="M1116" s="346"/>
      <c r="N1116" s="345"/>
      <c r="O1116" s="338">
        <f t="shared" si="491"/>
        <v>0</v>
      </c>
      <c r="P1116" s="345"/>
      <c r="Q1116" s="432"/>
      <c r="T1116" s="418"/>
    </row>
    <row r="1117" spans="3:20" ht="15" hidden="1" outlineLevel="2">
      <c r="C1117" s="1464"/>
      <c r="D1117" s="1464"/>
      <c r="E1117" s="1459"/>
      <c r="F1117" s="1462"/>
      <c r="G1117" s="343"/>
      <c r="H1117" s="335" t="s">
        <v>28</v>
      </c>
      <c r="I1117" s="341"/>
      <c r="J1117" s="341"/>
      <c r="K1117" s="341"/>
      <c r="L1117" s="341"/>
      <c r="M1117" s="342"/>
      <c r="N1117" s="341"/>
      <c r="O1117" s="338">
        <f t="shared" si="491"/>
        <v>0</v>
      </c>
      <c r="P1117" s="341"/>
      <c r="Q1117" s="431"/>
      <c r="T1117" s="418"/>
    </row>
    <row r="1118" spans="3:20" ht="15" hidden="1" outlineLevel="2">
      <c r="C1118" s="1464"/>
      <c r="D1118" s="1464"/>
      <c r="E1118" s="1459"/>
      <c r="F1118" s="1462"/>
      <c r="G1118" s="1454" t="s">
        <v>51</v>
      </c>
      <c r="H1118" s="1455"/>
      <c r="I1118" s="371">
        <f>SUM(I1108:I1117)</f>
        <v>0</v>
      </c>
      <c r="J1118" s="371">
        <f t="shared" ref="J1118:K1118" si="498">SUM(J1108:J1117)</f>
        <v>0</v>
      </c>
      <c r="K1118" s="371">
        <f t="shared" si="498"/>
        <v>0</v>
      </c>
      <c r="L1118" s="371">
        <f t="shared" ref="L1118" si="499">SUM(L1108:L1117)</f>
        <v>0</v>
      </c>
      <c r="M1118" s="359"/>
      <c r="N1118" s="371">
        <f>N1108</f>
        <v>0</v>
      </c>
      <c r="O1118" s="367">
        <f t="shared" si="491"/>
        <v>0</v>
      </c>
      <c r="P1118" s="371">
        <f t="shared" ref="P1118:Q1118" si="500">SUM(P1108:P1117)</f>
        <v>0</v>
      </c>
      <c r="Q1118" s="438">
        <f t="shared" si="500"/>
        <v>0</v>
      </c>
      <c r="T1118" s="418"/>
    </row>
    <row r="1119" spans="3:20" ht="15" hidden="1" outlineLevel="2">
      <c r="C1119" s="1464"/>
      <c r="D1119" s="1464"/>
      <c r="E1119" s="1459"/>
      <c r="F1119" s="1462"/>
      <c r="G1119" s="350"/>
      <c r="H1119" s="335" t="s">
        <v>22</v>
      </c>
      <c r="I1119" s="336"/>
      <c r="J1119" s="336"/>
      <c r="K1119" s="336"/>
      <c r="L1119" s="336"/>
      <c r="M1119" s="337"/>
      <c r="N1119" s="336"/>
      <c r="O1119" s="338">
        <f t="shared" si="491"/>
        <v>0</v>
      </c>
      <c r="P1119" s="336"/>
      <c r="Q1119" s="430"/>
      <c r="T1119" s="418"/>
    </row>
    <row r="1120" spans="3:20" ht="15" hidden="1" outlineLevel="2">
      <c r="C1120" s="1464"/>
      <c r="D1120" s="1464"/>
      <c r="E1120" s="1459"/>
      <c r="F1120" s="1462"/>
      <c r="G1120" s="343"/>
      <c r="H1120" s="335" t="s">
        <v>22</v>
      </c>
      <c r="I1120" s="341"/>
      <c r="J1120" s="341"/>
      <c r="K1120" s="341"/>
      <c r="L1120" s="341"/>
      <c r="M1120" s="342"/>
      <c r="N1120" s="341"/>
      <c r="O1120" s="338">
        <f t="shared" si="491"/>
        <v>0</v>
      </c>
      <c r="P1120" s="341"/>
      <c r="Q1120" s="431"/>
      <c r="T1120" s="418"/>
    </row>
    <row r="1121" spans="3:20" ht="15" hidden="1" outlineLevel="2">
      <c r="C1121" s="1464"/>
      <c r="D1121" s="1464"/>
      <c r="E1121" s="1459"/>
      <c r="F1121" s="1462"/>
      <c r="G1121" s="343"/>
      <c r="H1121" s="335" t="s">
        <v>22</v>
      </c>
      <c r="I1121" s="341"/>
      <c r="J1121" s="341"/>
      <c r="K1121" s="341"/>
      <c r="L1121" s="341"/>
      <c r="M1121" s="337"/>
      <c r="N1121" s="341"/>
      <c r="O1121" s="338">
        <f t="shared" si="491"/>
        <v>0</v>
      </c>
      <c r="P1121" s="341"/>
      <c r="Q1121" s="431"/>
      <c r="T1121" s="418"/>
    </row>
    <row r="1122" spans="3:20" ht="15" hidden="1" outlineLevel="2">
      <c r="C1122" s="1464"/>
      <c r="D1122" s="1464"/>
      <c r="E1122" s="1459"/>
      <c r="F1122" s="1462"/>
      <c r="G1122" s="343"/>
      <c r="H1122" s="335" t="s">
        <v>22</v>
      </c>
      <c r="I1122" s="341"/>
      <c r="J1122" s="341"/>
      <c r="K1122" s="341"/>
      <c r="L1122" s="341"/>
      <c r="M1122" s="342"/>
      <c r="N1122" s="341"/>
      <c r="O1122" s="338">
        <f t="shared" si="491"/>
        <v>0</v>
      </c>
      <c r="P1122" s="341"/>
      <c r="Q1122" s="431"/>
      <c r="T1122" s="418"/>
    </row>
    <row r="1123" spans="3:20" ht="15" hidden="1" outlineLevel="2">
      <c r="C1123" s="1464"/>
      <c r="D1123" s="1464"/>
      <c r="E1123" s="1459"/>
      <c r="F1123" s="1462"/>
      <c r="G1123" s="343"/>
      <c r="H1123" s="335" t="s">
        <v>22</v>
      </c>
      <c r="I1123" s="341"/>
      <c r="J1123" s="341"/>
      <c r="K1123" s="341"/>
      <c r="L1123" s="341"/>
      <c r="M1123" s="342"/>
      <c r="N1123" s="341"/>
      <c r="O1123" s="338">
        <f t="shared" si="491"/>
        <v>0</v>
      </c>
      <c r="P1123" s="341"/>
      <c r="Q1123" s="431"/>
      <c r="T1123" s="418"/>
    </row>
    <row r="1124" spans="3:20" ht="15" hidden="1" outlineLevel="2">
      <c r="C1124" s="1464"/>
      <c r="D1124" s="1464"/>
      <c r="E1124" s="1459"/>
      <c r="F1124" s="1462"/>
      <c r="G1124" s="343"/>
      <c r="H1124" s="335" t="s">
        <v>22</v>
      </c>
      <c r="I1124" s="341"/>
      <c r="J1124" s="341"/>
      <c r="K1124" s="341"/>
      <c r="L1124" s="341"/>
      <c r="M1124" s="342"/>
      <c r="N1124" s="341"/>
      <c r="O1124" s="338">
        <f t="shared" si="491"/>
        <v>0</v>
      </c>
      <c r="P1124" s="341"/>
      <c r="Q1124" s="431"/>
      <c r="T1124" s="418"/>
    </row>
    <row r="1125" spans="3:20" ht="15" hidden="1" outlineLevel="2">
      <c r="C1125" s="1464"/>
      <c r="D1125" s="1464"/>
      <c r="E1125" s="1459"/>
      <c r="F1125" s="1462"/>
      <c r="G1125" s="343"/>
      <c r="H1125" s="335" t="s">
        <v>22</v>
      </c>
      <c r="I1125" s="341"/>
      <c r="J1125" s="341"/>
      <c r="K1125" s="341"/>
      <c r="L1125" s="341"/>
      <c r="M1125" s="342"/>
      <c r="N1125" s="341"/>
      <c r="O1125" s="338">
        <f t="shared" si="491"/>
        <v>0</v>
      </c>
      <c r="P1125" s="341"/>
      <c r="Q1125" s="431"/>
      <c r="T1125" s="418"/>
    </row>
    <row r="1126" spans="3:20" ht="15" hidden="1" outlineLevel="2">
      <c r="C1126" s="1464"/>
      <c r="D1126" s="1464"/>
      <c r="E1126" s="1459"/>
      <c r="F1126" s="1462"/>
      <c r="G1126" s="343"/>
      <c r="H1126" s="335" t="s">
        <v>22</v>
      </c>
      <c r="I1126" s="341"/>
      <c r="J1126" s="341"/>
      <c r="K1126" s="341"/>
      <c r="L1126" s="341"/>
      <c r="M1126" s="342"/>
      <c r="N1126" s="341"/>
      <c r="O1126" s="338">
        <f t="shared" si="491"/>
        <v>0</v>
      </c>
      <c r="P1126" s="341"/>
      <c r="Q1126" s="431"/>
      <c r="T1126" s="418"/>
    </row>
    <row r="1127" spans="3:20" ht="15" hidden="1" outlineLevel="2">
      <c r="C1127" s="1464"/>
      <c r="D1127" s="1464"/>
      <c r="E1127" s="1459"/>
      <c r="F1127" s="1462"/>
      <c r="G1127" s="344"/>
      <c r="H1127" s="335" t="s">
        <v>22</v>
      </c>
      <c r="I1127" s="345"/>
      <c r="J1127" s="345"/>
      <c r="K1127" s="345"/>
      <c r="L1127" s="345"/>
      <c r="M1127" s="346"/>
      <c r="N1127" s="345"/>
      <c r="O1127" s="338">
        <f t="shared" si="491"/>
        <v>0</v>
      </c>
      <c r="P1127" s="345"/>
      <c r="Q1127" s="432"/>
      <c r="T1127" s="418"/>
    </row>
    <row r="1128" spans="3:20" ht="15" hidden="1" outlineLevel="2">
      <c r="C1128" s="1464"/>
      <c r="D1128" s="1464"/>
      <c r="E1128" s="1459"/>
      <c r="F1128" s="1462"/>
      <c r="G1128" s="343"/>
      <c r="H1128" s="335" t="s">
        <v>22</v>
      </c>
      <c r="I1128" s="341"/>
      <c r="J1128" s="341"/>
      <c r="K1128" s="341"/>
      <c r="L1128" s="341"/>
      <c r="M1128" s="342"/>
      <c r="N1128" s="341"/>
      <c r="O1128" s="338">
        <f t="shared" si="491"/>
        <v>0</v>
      </c>
      <c r="P1128" s="341"/>
      <c r="Q1128" s="431"/>
      <c r="T1128" s="418"/>
    </row>
    <row r="1129" spans="3:20" ht="15" hidden="1" outlineLevel="2">
      <c r="C1129" s="1464"/>
      <c r="D1129" s="1464"/>
      <c r="E1129" s="1459"/>
      <c r="F1129" s="1462"/>
      <c r="G1129" s="1454" t="s">
        <v>44</v>
      </c>
      <c r="H1129" s="1455"/>
      <c r="I1129" s="371">
        <f>SUM(I1119:I1128)</f>
        <v>0</v>
      </c>
      <c r="J1129" s="371">
        <f t="shared" ref="J1129:K1129" si="501">SUM(J1119:J1128)</f>
        <v>0</v>
      </c>
      <c r="K1129" s="371">
        <f t="shared" si="501"/>
        <v>0</v>
      </c>
      <c r="L1129" s="371">
        <f t="shared" ref="L1129" si="502">SUM(L1119:L1128)</f>
        <v>0</v>
      </c>
      <c r="M1129" s="359"/>
      <c r="N1129" s="371">
        <f>N1119</f>
        <v>0</v>
      </c>
      <c r="O1129" s="367">
        <f t="shared" si="491"/>
        <v>0</v>
      </c>
      <c r="P1129" s="371">
        <f t="shared" ref="P1129:Q1129" si="503">SUM(P1119:P1128)</f>
        <v>0</v>
      </c>
      <c r="Q1129" s="438">
        <f t="shared" si="503"/>
        <v>0</v>
      </c>
      <c r="T1129" s="418"/>
    </row>
    <row r="1130" spans="3:20" ht="15" hidden="1" outlineLevel="1" collapsed="1">
      <c r="C1130" s="1464"/>
      <c r="D1130" s="1464"/>
      <c r="E1130" s="1459"/>
      <c r="F1130" s="1463"/>
      <c r="G1130" s="1454" t="s">
        <v>177</v>
      </c>
      <c r="H1130" s="1455"/>
      <c r="I1130" s="371">
        <f>(I1107/usdrate)+(I1118*jodrate)+I1129</f>
        <v>0</v>
      </c>
      <c r="J1130" s="371">
        <f>(J1107/usdrate)+(J1118*jodrate)+J1129</f>
        <v>0</v>
      </c>
      <c r="K1130" s="371">
        <f>(K1107/usdrate)+(K1118*jodrate)+K1129</f>
        <v>0</v>
      </c>
      <c r="L1130" s="371">
        <f>(L1107/usdrate)+(L1118*jodrate)+L1129</f>
        <v>0</v>
      </c>
      <c r="M1130" s="359"/>
      <c r="N1130" s="371">
        <f>(N1107/usdrate)+(N1118*jodrate)+N1129</f>
        <v>0</v>
      </c>
      <c r="O1130" s="367">
        <f t="shared" si="491"/>
        <v>0</v>
      </c>
      <c r="P1130" s="371">
        <f>(P1107/usdrate)+(P1118*jodrate)+P1129</f>
        <v>0</v>
      </c>
      <c r="Q1130" s="438">
        <f>(Q1107/usdrate)+(Q1118*jodrate)+Q1129</f>
        <v>0</v>
      </c>
      <c r="T1130" s="418"/>
    </row>
    <row r="1131" spans="3:20" ht="15" hidden="1" outlineLevel="2">
      <c r="C1131" s="1464"/>
      <c r="D1131" s="1464"/>
      <c r="E1131" s="1459"/>
      <c r="F1131" s="1461" t="s">
        <v>172</v>
      </c>
      <c r="G1131" s="350"/>
      <c r="H1131" s="335" t="s">
        <v>28</v>
      </c>
      <c r="I1131" s="336"/>
      <c r="J1131" s="336"/>
      <c r="K1131" s="336"/>
      <c r="L1131" s="336"/>
      <c r="M1131" s="337"/>
      <c r="N1131" s="336"/>
      <c r="O1131" s="338">
        <f t="shared" si="491"/>
        <v>0</v>
      </c>
      <c r="P1131" s="336"/>
      <c r="Q1131" s="430"/>
      <c r="T1131" s="418"/>
    </row>
    <row r="1132" spans="3:20" ht="15" hidden="1" outlineLevel="2">
      <c r="C1132" s="1464"/>
      <c r="D1132" s="1464"/>
      <c r="E1132" s="1459"/>
      <c r="F1132" s="1462"/>
      <c r="G1132" s="343"/>
      <c r="H1132" s="335" t="s">
        <v>28</v>
      </c>
      <c r="I1132" s="341"/>
      <c r="J1132" s="341"/>
      <c r="K1132" s="341"/>
      <c r="L1132" s="341"/>
      <c r="M1132" s="342"/>
      <c r="N1132" s="341"/>
      <c r="O1132" s="338">
        <f t="shared" si="491"/>
        <v>0</v>
      </c>
      <c r="P1132" s="341"/>
      <c r="Q1132" s="431"/>
      <c r="T1132" s="418"/>
    </row>
    <row r="1133" spans="3:20" ht="15" hidden="1" outlineLevel="2">
      <c r="C1133" s="1464"/>
      <c r="D1133" s="1464"/>
      <c r="E1133" s="1459"/>
      <c r="F1133" s="1462"/>
      <c r="G1133" s="343"/>
      <c r="H1133" s="335" t="s">
        <v>28</v>
      </c>
      <c r="I1133" s="341"/>
      <c r="J1133" s="341"/>
      <c r="K1133" s="341"/>
      <c r="L1133" s="341"/>
      <c r="M1133" s="337"/>
      <c r="N1133" s="341"/>
      <c r="O1133" s="338">
        <f t="shared" si="491"/>
        <v>0</v>
      </c>
      <c r="P1133" s="341"/>
      <c r="Q1133" s="431"/>
      <c r="T1133" s="418"/>
    </row>
    <row r="1134" spans="3:20" ht="15" hidden="1" outlineLevel="2">
      <c r="C1134" s="1464"/>
      <c r="D1134" s="1464"/>
      <c r="E1134" s="1459"/>
      <c r="F1134" s="1462"/>
      <c r="G1134" s="343"/>
      <c r="H1134" s="335" t="s">
        <v>28</v>
      </c>
      <c r="I1134" s="341"/>
      <c r="J1134" s="341"/>
      <c r="K1134" s="341"/>
      <c r="L1134" s="341"/>
      <c r="M1134" s="342"/>
      <c r="N1134" s="341"/>
      <c r="O1134" s="338">
        <f t="shared" si="491"/>
        <v>0</v>
      </c>
      <c r="P1134" s="341"/>
      <c r="Q1134" s="431"/>
      <c r="T1134" s="418"/>
    </row>
    <row r="1135" spans="3:20" ht="15" hidden="1" outlineLevel="2">
      <c r="C1135" s="1464"/>
      <c r="D1135" s="1464"/>
      <c r="E1135" s="1459"/>
      <c r="F1135" s="1462"/>
      <c r="G1135" s="343"/>
      <c r="H1135" s="335" t="s">
        <v>28</v>
      </c>
      <c r="I1135" s="341"/>
      <c r="J1135" s="341"/>
      <c r="K1135" s="341"/>
      <c r="L1135" s="341"/>
      <c r="M1135" s="342"/>
      <c r="N1135" s="341"/>
      <c r="O1135" s="338">
        <f t="shared" si="491"/>
        <v>0</v>
      </c>
      <c r="P1135" s="341"/>
      <c r="Q1135" s="431"/>
      <c r="T1135" s="418"/>
    </row>
    <row r="1136" spans="3:20" ht="15" hidden="1" outlineLevel="2">
      <c r="C1136" s="1464"/>
      <c r="D1136" s="1464"/>
      <c r="E1136" s="1459"/>
      <c r="F1136" s="1462"/>
      <c r="G1136" s="343"/>
      <c r="H1136" s="335" t="s">
        <v>28</v>
      </c>
      <c r="I1136" s="341"/>
      <c r="J1136" s="341"/>
      <c r="K1136" s="341"/>
      <c r="L1136" s="341"/>
      <c r="M1136" s="342"/>
      <c r="N1136" s="341"/>
      <c r="O1136" s="338">
        <f t="shared" si="491"/>
        <v>0</v>
      </c>
      <c r="P1136" s="341"/>
      <c r="Q1136" s="431"/>
      <c r="T1136" s="418"/>
    </row>
    <row r="1137" spans="3:20" ht="15" hidden="1" outlineLevel="2">
      <c r="C1137" s="1464"/>
      <c r="D1137" s="1464"/>
      <c r="E1137" s="1459"/>
      <c r="F1137" s="1462"/>
      <c r="G1137" s="343"/>
      <c r="H1137" s="335" t="s">
        <v>28</v>
      </c>
      <c r="I1137" s="341"/>
      <c r="J1137" s="341"/>
      <c r="K1137" s="341"/>
      <c r="L1137" s="341"/>
      <c r="M1137" s="342"/>
      <c r="N1137" s="341"/>
      <c r="O1137" s="338">
        <f t="shared" si="491"/>
        <v>0</v>
      </c>
      <c r="P1137" s="341"/>
      <c r="Q1137" s="431"/>
      <c r="T1137" s="418"/>
    </row>
    <row r="1138" spans="3:20" ht="15" hidden="1" outlineLevel="2">
      <c r="C1138" s="1464"/>
      <c r="D1138" s="1464"/>
      <c r="E1138" s="1459"/>
      <c r="F1138" s="1462"/>
      <c r="G1138" s="343"/>
      <c r="H1138" s="335" t="s">
        <v>28</v>
      </c>
      <c r="I1138" s="341"/>
      <c r="J1138" s="341"/>
      <c r="K1138" s="341"/>
      <c r="L1138" s="341"/>
      <c r="M1138" s="342"/>
      <c r="N1138" s="341"/>
      <c r="O1138" s="338">
        <f t="shared" si="491"/>
        <v>0</v>
      </c>
      <c r="P1138" s="341"/>
      <c r="Q1138" s="431"/>
      <c r="T1138" s="418"/>
    </row>
    <row r="1139" spans="3:20" ht="15" hidden="1" outlineLevel="2">
      <c r="C1139" s="1464"/>
      <c r="D1139" s="1464"/>
      <c r="E1139" s="1459"/>
      <c r="F1139" s="1462"/>
      <c r="G1139" s="344"/>
      <c r="H1139" s="335" t="s">
        <v>28</v>
      </c>
      <c r="I1139" s="345"/>
      <c r="J1139" s="345"/>
      <c r="K1139" s="345"/>
      <c r="L1139" s="345"/>
      <c r="M1139" s="346"/>
      <c r="N1139" s="345"/>
      <c r="O1139" s="338">
        <f t="shared" si="491"/>
        <v>0</v>
      </c>
      <c r="P1139" s="345"/>
      <c r="Q1139" s="432"/>
      <c r="T1139" s="418"/>
    </row>
    <row r="1140" spans="3:20" ht="15" hidden="1" outlineLevel="2">
      <c r="C1140" s="1464"/>
      <c r="D1140" s="1464"/>
      <c r="E1140" s="1459"/>
      <c r="F1140" s="1462"/>
      <c r="G1140" s="343"/>
      <c r="H1140" s="335" t="s">
        <v>28</v>
      </c>
      <c r="I1140" s="341"/>
      <c r="J1140" s="341"/>
      <c r="K1140" s="341"/>
      <c r="L1140" s="341"/>
      <c r="M1140" s="342"/>
      <c r="N1140" s="341"/>
      <c r="O1140" s="338">
        <f t="shared" si="491"/>
        <v>0</v>
      </c>
      <c r="P1140" s="341"/>
      <c r="Q1140" s="431"/>
      <c r="T1140" s="418"/>
    </row>
    <row r="1141" spans="3:20" ht="15" hidden="1" outlineLevel="2">
      <c r="C1141" s="1464"/>
      <c r="D1141" s="1464"/>
      <c r="E1141" s="1459"/>
      <c r="F1141" s="1462"/>
      <c r="G1141" s="1454" t="s">
        <v>51</v>
      </c>
      <c r="H1141" s="1455"/>
      <c r="I1141" s="371">
        <f>SUM(I1131:I1140)</f>
        <v>0</v>
      </c>
      <c r="J1141" s="371">
        <f t="shared" ref="J1141:K1141" si="504">SUM(J1131:J1140)</f>
        <v>0</v>
      </c>
      <c r="K1141" s="371">
        <f t="shared" si="504"/>
        <v>0</v>
      </c>
      <c r="L1141" s="371">
        <f t="shared" ref="L1141" si="505">SUM(L1131:L1140)</f>
        <v>0</v>
      </c>
      <c r="M1141" s="359"/>
      <c r="N1141" s="371">
        <f>N1131</f>
        <v>0</v>
      </c>
      <c r="O1141" s="367">
        <f t="shared" si="491"/>
        <v>0</v>
      </c>
      <c r="P1141" s="371">
        <f t="shared" ref="P1141:Q1141" si="506">SUM(P1131:P1140)</f>
        <v>0</v>
      </c>
      <c r="Q1141" s="438">
        <f t="shared" si="506"/>
        <v>0</v>
      </c>
      <c r="T1141" s="418"/>
    </row>
    <row r="1142" spans="3:20" ht="15" hidden="1" outlineLevel="2">
      <c r="C1142" s="1464"/>
      <c r="D1142" s="1464"/>
      <c r="E1142" s="1459"/>
      <c r="F1142" s="1462"/>
      <c r="G1142" s="350"/>
      <c r="H1142" s="335" t="s">
        <v>22</v>
      </c>
      <c r="I1142" s="336"/>
      <c r="J1142" s="336"/>
      <c r="K1142" s="336"/>
      <c r="L1142" s="336"/>
      <c r="M1142" s="337"/>
      <c r="N1142" s="336"/>
      <c r="O1142" s="338">
        <f t="shared" si="491"/>
        <v>0</v>
      </c>
      <c r="P1142" s="336"/>
      <c r="Q1142" s="430"/>
      <c r="T1142" s="418"/>
    </row>
    <row r="1143" spans="3:20" ht="15" hidden="1" outlineLevel="2">
      <c r="C1143" s="1464"/>
      <c r="D1143" s="1464"/>
      <c r="E1143" s="1459"/>
      <c r="F1143" s="1462"/>
      <c r="G1143" s="343"/>
      <c r="H1143" s="335" t="s">
        <v>22</v>
      </c>
      <c r="I1143" s="341"/>
      <c r="J1143" s="341"/>
      <c r="K1143" s="341"/>
      <c r="L1143" s="341"/>
      <c r="M1143" s="342"/>
      <c r="N1143" s="341"/>
      <c r="O1143" s="338">
        <f t="shared" si="491"/>
        <v>0</v>
      </c>
      <c r="P1143" s="341"/>
      <c r="Q1143" s="431"/>
      <c r="T1143" s="418"/>
    </row>
    <row r="1144" spans="3:20" ht="15" hidden="1" outlineLevel="2">
      <c r="C1144" s="1464"/>
      <c r="D1144" s="1464"/>
      <c r="E1144" s="1459"/>
      <c r="F1144" s="1462"/>
      <c r="G1144" s="343"/>
      <c r="H1144" s="335" t="s">
        <v>22</v>
      </c>
      <c r="I1144" s="341"/>
      <c r="J1144" s="341"/>
      <c r="K1144" s="341"/>
      <c r="L1144" s="341"/>
      <c r="M1144" s="337"/>
      <c r="N1144" s="341"/>
      <c r="O1144" s="338">
        <f t="shared" si="491"/>
        <v>0</v>
      </c>
      <c r="P1144" s="341"/>
      <c r="Q1144" s="431"/>
      <c r="T1144" s="418"/>
    </row>
    <row r="1145" spans="3:20" ht="15" hidden="1" outlineLevel="2">
      <c r="C1145" s="1464"/>
      <c r="D1145" s="1464"/>
      <c r="E1145" s="1459"/>
      <c r="F1145" s="1462"/>
      <c r="G1145" s="343"/>
      <c r="H1145" s="335" t="s">
        <v>22</v>
      </c>
      <c r="I1145" s="341"/>
      <c r="J1145" s="341"/>
      <c r="K1145" s="341"/>
      <c r="L1145" s="341"/>
      <c r="M1145" s="342"/>
      <c r="N1145" s="341"/>
      <c r="O1145" s="338">
        <f t="shared" si="491"/>
        <v>0</v>
      </c>
      <c r="P1145" s="341"/>
      <c r="Q1145" s="431"/>
      <c r="T1145" s="418"/>
    </row>
    <row r="1146" spans="3:20" ht="15" hidden="1" outlineLevel="2">
      <c r="C1146" s="1464"/>
      <c r="D1146" s="1464"/>
      <c r="E1146" s="1459"/>
      <c r="F1146" s="1462"/>
      <c r="G1146" s="343"/>
      <c r="H1146" s="335" t="s">
        <v>22</v>
      </c>
      <c r="I1146" s="341"/>
      <c r="J1146" s="341"/>
      <c r="K1146" s="341"/>
      <c r="L1146" s="341"/>
      <c r="M1146" s="342"/>
      <c r="N1146" s="341"/>
      <c r="O1146" s="338">
        <f t="shared" si="491"/>
        <v>0</v>
      </c>
      <c r="P1146" s="341"/>
      <c r="Q1146" s="431"/>
      <c r="T1146" s="418"/>
    </row>
    <row r="1147" spans="3:20" ht="15" hidden="1" outlineLevel="2">
      <c r="C1147" s="1464"/>
      <c r="D1147" s="1464"/>
      <c r="E1147" s="1459"/>
      <c r="F1147" s="1462"/>
      <c r="G1147" s="343"/>
      <c r="H1147" s="335" t="s">
        <v>22</v>
      </c>
      <c r="I1147" s="341"/>
      <c r="J1147" s="341"/>
      <c r="K1147" s="341"/>
      <c r="L1147" s="341"/>
      <c r="M1147" s="342"/>
      <c r="N1147" s="341"/>
      <c r="O1147" s="338">
        <f t="shared" si="491"/>
        <v>0</v>
      </c>
      <c r="P1147" s="341"/>
      <c r="Q1147" s="431"/>
      <c r="T1147" s="418"/>
    </row>
    <row r="1148" spans="3:20" ht="15" hidden="1" outlineLevel="2">
      <c r="C1148" s="1464"/>
      <c r="D1148" s="1464"/>
      <c r="E1148" s="1459"/>
      <c r="F1148" s="1462"/>
      <c r="G1148" s="343"/>
      <c r="H1148" s="335" t="s">
        <v>22</v>
      </c>
      <c r="I1148" s="341"/>
      <c r="J1148" s="341"/>
      <c r="K1148" s="341"/>
      <c r="L1148" s="341"/>
      <c r="M1148" s="342"/>
      <c r="N1148" s="341"/>
      <c r="O1148" s="338">
        <f t="shared" si="491"/>
        <v>0</v>
      </c>
      <c r="P1148" s="341"/>
      <c r="Q1148" s="431"/>
      <c r="T1148" s="418"/>
    </row>
    <row r="1149" spans="3:20" ht="15" hidden="1" outlineLevel="2">
      <c r="C1149" s="1464"/>
      <c r="D1149" s="1464"/>
      <c r="E1149" s="1459"/>
      <c r="F1149" s="1462"/>
      <c r="G1149" s="343"/>
      <c r="H1149" s="335" t="s">
        <v>22</v>
      </c>
      <c r="I1149" s="341"/>
      <c r="J1149" s="341"/>
      <c r="K1149" s="341"/>
      <c r="L1149" s="341"/>
      <c r="M1149" s="342"/>
      <c r="N1149" s="341"/>
      <c r="O1149" s="338">
        <f t="shared" si="491"/>
        <v>0</v>
      </c>
      <c r="P1149" s="341"/>
      <c r="Q1149" s="431"/>
      <c r="T1149" s="418"/>
    </row>
    <row r="1150" spans="3:20" ht="15" hidden="1" outlineLevel="2">
      <c r="C1150" s="1464"/>
      <c r="D1150" s="1464"/>
      <c r="E1150" s="1459"/>
      <c r="F1150" s="1462"/>
      <c r="G1150" s="344"/>
      <c r="H1150" s="335" t="s">
        <v>22</v>
      </c>
      <c r="I1150" s="345"/>
      <c r="J1150" s="345"/>
      <c r="K1150" s="345"/>
      <c r="L1150" s="345"/>
      <c r="M1150" s="346"/>
      <c r="N1150" s="345"/>
      <c r="O1150" s="338">
        <f t="shared" si="491"/>
        <v>0</v>
      </c>
      <c r="P1150" s="345"/>
      <c r="Q1150" s="432"/>
      <c r="T1150" s="418"/>
    </row>
    <row r="1151" spans="3:20" ht="15" hidden="1" outlineLevel="2">
      <c r="C1151" s="1464"/>
      <c r="D1151" s="1464"/>
      <c r="E1151" s="1459"/>
      <c r="F1151" s="1462"/>
      <c r="G1151" s="343"/>
      <c r="H1151" s="335" t="s">
        <v>22</v>
      </c>
      <c r="I1151" s="341"/>
      <c r="J1151" s="341"/>
      <c r="K1151" s="341"/>
      <c r="L1151" s="341"/>
      <c r="M1151" s="342"/>
      <c r="N1151" s="341"/>
      <c r="O1151" s="338">
        <f t="shared" si="491"/>
        <v>0</v>
      </c>
      <c r="P1151" s="341"/>
      <c r="Q1151" s="431"/>
      <c r="T1151" s="418"/>
    </row>
    <row r="1152" spans="3:20" ht="15" hidden="1" outlineLevel="2">
      <c r="C1152" s="1464"/>
      <c r="D1152" s="1464"/>
      <c r="E1152" s="1459"/>
      <c r="F1152" s="1462"/>
      <c r="G1152" s="1454" t="s">
        <v>44</v>
      </c>
      <c r="H1152" s="1455"/>
      <c r="I1152" s="371">
        <f>SUM(I1142:I1151)</f>
        <v>0</v>
      </c>
      <c r="J1152" s="371">
        <f t="shared" ref="J1152:K1152" si="507">SUM(J1142:J1151)</f>
        <v>0</v>
      </c>
      <c r="K1152" s="371">
        <f t="shared" si="507"/>
        <v>0</v>
      </c>
      <c r="L1152" s="371">
        <f t="shared" ref="L1152" si="508">SUM(L1142:L1151)</f>
        <v>0</v>
      </c>
      <c r="M1152" s="359"/>
      <c r="N1152" s="371">
        <f>N1142</f>
        <v>0</v>
      </c>
      <c r="O1152" s="367">
        <f t="shared" ref="O1152:O1215" si="509">IF(N1152=0,0,N1152/J1152)</f>
        <v>0</v>
      </c>
      <c r="P1152" s="371">
        <f t="shared" ref="P1152:Q1152" si="510">SUM(P1142:P1151)</f>
        <v>0</v>
      </c>
      <c r="Q1152" s="438">
        <f t="shared" si="510"/>
        <v>0</v>
      </c>
      <c r="T1152" s="418"/>
    </row>
    <row r="1153" spans="1:26" ht="15" hidden="1" outlineLevel="1" collapsed="1">
      <c r="C1153" s="1464"/>
      <c r="D1153" s="1464"/>
      <c r="E1153" s="1459"/>
      <c r="F1153" s="1463"/>
      <c r="G1153" s="1454" t="s">
        <v>177</v>
      </c>
      <c r="H1153" s="1455"/>
      <c r="I1153" s="371">
        <f>(I1141*jodrate)+I1152</f>
        <v>0</v>
      </c>
      <c r="J1153" s="371">
        <f>(J1141*jodrate)+J1152</f>
        <v>0</v>
      </c>
      <c r="K1153" s="371">
        <f>(K1141*jodrate)+K1152</f>
        <v>0</v>
      </c>
      <c r="L1153" s="371">
        <f>(L1141*jodrate)+L1152</f>
        <v>0</v>
      </c>
      <c r="M1153" s="359"/>
      <c r="N1153" s="371">
        <f>(N1141*jodrate)+N1152</f>
        <v>0</v>
      </c>
      <c r="O1153" s="367">
        <f t="shared" si="509"/>
        <v>0</v>
      </c>
      <c r="P1153" s="371">
        <f>(P1141*jodrate)+P1152</f>
        <v>0</v>
      </c>
      <c r="Q1153" s="438">
        <f>(Q1141*jodrate)+Q1152</f>
        <v>0</v>
      </c>
      <c r="T1153" s="418"/>
    </row>
    <row r="1154" spans="1:26" ht="15.75" collapsed="1" thickBot="1">
      <c r="C1154" s="1465"/>
      <c r="D1154" s="1465"/>
      <c r="E1154" s="1460"/>
      <c r="F1154" s="1456" t="s">
        <v>176</v>
      </c>
      <c r="G1154" s="1457"/>
      <c r="H1154" s="1457"/>
      <c r="I1154" s="372">
        <f>I962+I1028+I1062+I1096+I1130+I1153</f>
        <v>0</v>
      </c>
      <c r="J1154" s="372">
        <f t="shared" ref="J1154:K1154" si="511">J962+J1028+J1062+J1096+J1130+J1153</f>
        <v>0</v>
      </c>
      <c r="K1154" s="372">
        <f t="shared" si="511"/>
        <v>0</v>
      </c>
      <c r="L1154" s="372">
        <f t="shared" ref="L1154" si="512">L962+L1028+L1062+L1096+L1130+L1153</f>
        <v>0</v>
      </c>
      <c r="M1154" s="372"/>
      <c r="N1154" s="372">
        <f t="shared" ref="N1154" si="513">N962+N1028+N1062+N1096+N1130+N1153</f>
        <v>0</v>
      </c>
      <c r="O1154" s="373">
        <f t="shared" si="509"/>
        <v>0</v>
      </c>
      <c r="P1154" s="372">
        <f t="shared" ref="P1154:Q1154" si="514">P962+P1028+P1062+P1096+P1130+P1153</f>
        <v>0</v>
      </c>
      <c r="Q1154" s="439">
        <f t="shared" si="514"/>
        <v>0</v>
      </c>
      <c r="T1154" s="418"/>
    </row>
    <row r="1155" spans="1:26" ht="15.75" hidden="1" outlineLevel="2" thickTop="1">
      <c r="A1155" s="39" t="s">
        <v>28</v>
      </c>
      <c r="B1155" s="47">
        <v>3.5000000000000003E-2</v>
      </c>
      <c r="C1155" s="1464">
        <f>التوصية!$B$109</f>
        <v>0</v>
      </c>
      <c r="D1155" s="1464"/>
      <c r="E1155" s="1466" t="s">
        <v>167</v>
      </c>
      <c r="F1155" s="1468" t="s">
        <v>169</v>
      </c>
      <c r="G1155" s="381"/>
      <c r="H1155" s="362" t="s">
        <v>4</v>
      </c>
      <c r="I1155" s="364"/>
      <c r="J1155" s="364"/>
      <c r="K1155" s="364" t="e">
        <f t="shared" ref="K1155:K1164" si="515">Z1155</f>
        <v>#DIV/0!</v>
      </c>
      <c r="L1155" s="364">
        <f t="shared" ref="L1155:L1164" si="516">AA1155</f>
        <v>0</v>
      </c>
      <c r="M1155" s="411"/>
      <c r="N1155" s="364"/>
      <c r="O1155" s="358">
        <f t="shared" si="509"/>
        <v>0</v>
      </c>
      <c r="P1155" s="364"/>
      <c r="Q1155" s="446"/>
      <c r="R1155" s="428">
        <f t="shared" ref="R1155:R1187" si="517">IF(H1155="USD",$B$4,IF(H1155="ILS",$B$2,IF(H1155="JOD",$B$3,"")))</f>
        <v>0.05</v>
      </c>
      <c r="S1155" s="45">
        <f>J1155*R1155</f>
        <v>0</v>
      </c>
      <c r="T1155" s="425">
        <f>I1155*R1155</f>
        <v>0</v>
      </c>
      <c r="U1155" s="46"/>
      <c r="V1155" s="407">
        <f>U1155/12</f>
        <v>0</v>
      </c>
      <c r="W1155" s="45">
        <f>T1155*V1155</f>
        <v>0</v>
      </c>
      <c r="X1155" s="45">
        <f>W1155/usdrate</f>
        <v>0</v>
      </c>
      <c r="Y1155" s="45">
        <f t="shared" ref="Y1155:Y1164" si="518">I1155+W1155</f>
        <v>0</v>
      </c>
      <c r="Z1155" s="45" t="e">
        <f>Y1155/U1155</f>
        <v>#DIV/0!</v>
      </c>
    </row>
    <row r="1156" spans="1:26" ht="15" hidden="1" outlineLevel="2">
      <c r="A1156" s="40" t="s">
        <v>22</v>
      </c>
      <c r="B1156" s="48">
        <v>3.5000000000000003E-2</v>
      </c>
      <c r="C1156" s="1464"/>
      <c r="D1156" s="1464"/>
      <c r="E1156" s="1466"/>
      <c r="F1156" s="1468"/>
      <c r="G1156" s="339"/>
      <c r="H1156" s="340" t="s">
        <v>4</v>
      </c>
      <c r="I1156" s="341"/>
      <c r="J1156" s="341"/>
      <c r="K1156" s="336" t="e">
        <f t="shared" si="515"/>
        <v>#DIV/0!</v>
      </c>
      <c r="L1156" s="336">
        <f t="shared" si="516"/>
        <v>0</v>
      </c>
      <c r="M1156" s="342"/>
      <c r="N1156" s="341"/>
      <c r="O1156" s="338">
        <f t="shared" si="509"/>
        <v>0</v>
      </c>
      <c r="P1156" s="341"/>
      <c r="Q1156" s="431"/>
      <c r="R1156" s="428">
        <f t="shared" si="517"/>
        <v>0.05</v>
      </c>
      <c r="S1156" s="45">
        <f t="shared" ref="S1156:S1164" si="519">R1156*J1156</f>
        <v>0</v>
      </c>
      <c r="T1156" s="425">
        <f t="shared" ref="T1156:T1164" si="520">R1156*I1156</f>
        <v>0</v>
      </c>
      <c r="U1156" s="46"/>
      <c r="V1156" s="407">
        <f>U1156/12</f>
        <v>0</v>
      </c>
      <c r="W1156" s="45">
        <f>T1156*V1156</f>
        <v>0</v>
      </c>
      <c r="X1156" s="45">
        <f>W1156/usdrate</f>
        <v>0</v>
      </c>
      <c r="Y1156" s="45">
        <f t="shared" si="518"/>
        <v>0</v>
      </c>
      <c r="Z1156" s="45" t="e">
        <f>Y1156/U1156</f>
        <v>#DIV/0!</v>
      </c>
    </row>
    <row r="1157" spans="1:26" ht="15" hidden="1" outlineLevel="2">
      <c r="C1157" s="1464"/>
      <c r="D1157" s="1464"/>
      <c r="E1157" s="1466"/>
      <c r="F1157" s="1468"/>
      <c r="G1157" s="343"/>
      <c r="H1157" s="340" t="s">
        <v>4</v>
      </c>
      <c r="I1157" s="341"/>
      <c r="J1157" s="341"/>
      <c r="K1157" s="341" t="e">
        <f t="shared" si="515"/>
        <v>#DIV/0!</v>
      </c>
      <c r="L1157" s="341">
        <f t="shared" si="516"/>
        <v>0</v>
      </c>
      <c r="M1157" s="337"/>
      <c r="N1157" s="341"/>
      <c r="O1157" s="338">
        <f t="shared" si="509"/>
        <v>0</v>
      </c>
      <c r="P1157" s="341"/>
      <c r="Q1157" s="431"/>
      <c r="R1157" s="428">
        <f t="shared" si="517"/>
        <v>0.05</v>
      </c>
      <c r="S1157" s="45">
        <f t="shared" si="519"/>
        <v>0</v>
      </c>
      <c r="T1157" s="425">
        <f t="shared" si="520"/>
        <v>0</v>
      </c>
      <c r="U1157" s="46"/>
      <c r="V1157" s="407">
        <f t="shared" ref="V1157:V1164" si="521">U1157/12</f>
        <v>0</v>
      </c>
      <c r="W1157" s="45">
        <f t="shared" ref="W1157:W1164" si="522">T1157*V1157</f>
        <v>0</v>
      </c>
      <c r="X1157" s="45"/>
      <c r="Y1157" s="45">
        <f t="shared" si="518"/>
        <v>0</v>
      </c>
      <c r="Z1157" s="45" t="e">
        <f t="shared" ref="Z1157:Z1164" si="523">Y1157/U1157</f>
        <v>#DIV/0!</v>
      </c>
    </row>
    <row r="1158" spans="1:26" ht="15" hidden="1" outlineLevel="2">
      <c r="C1158" s="1464"/>
      <c r="D1158" s="1464"/>
      <c r="E1158" s="1466"/>
      <c r="F1158" s="1468"/>
      <c r="G1158" s="343"/>
      <c r="H1158" s="340" t="s">
        <v>4</v>
      </c>
      <c r="I1158" s="341"/>
      <c r="J1158" s="341"/>
      <c r="K1158" s="341" t="e">
        <f t="shared" si="515"/>
        <v>#DIV/0!</v>
      </c>
      <c r="L1158" s="341">
        <f t="shared" si="516"/>
        <v>0</v>
      </c>
      <c r="M1158" s="342"/>
      <c r="N1158" s="341"/>
      <c r="O1158" s="338">
        <f t="shared" si="509"/>
        <v>0</v>
      </c>
      <c r="P1158" s="341"/>
      <c r="Q1158" s="431"/>
      <c r="R1158" s="428">
        <f t="shared" si="517"/>
        <v>0.05</v>
      </c>
      <c r="S1158" s="45">
        <f t="shared" si="519"/>
        <v>0</v>
      </c>
      <c r="T1158" s="425">
        <f t="shared" si="520"/>
        <v>0</v>
      </c>
      <c r="U1158" s="46"/>
      <c r="V1158" s="407">
        <f t="shared" si="521"/>
        <v>0</v>
      </c>
      <c r="W1158" s="45">
        <f t="shared" si="522"/>
        <v>0</v>
      </c>
      <c r="X1158" s="45"/>
      <c r="Y1158" s="45">
        <f t="shared" si="518"/>
        <v>0</v>
      </c>
      <c r="Z1158" s="45" t="e">
        <f t="shared" si="523"/>
        <v>#DIV/0!</v>
      </c>
    </row>
    <row r="1159" spans="1:26" ht="15" hidden="1" outlineLevel="2">
      <c r="C1159" s="1464"/>
      <c r="D1159" s="1464"/>
      <c r="E1159" s="1466"/>
      <c r="F1159" s="1468"/>
      <c r="G1159" s="343"/>
      <c r="H1159" s="340" t="s">
        <v>4</v>
      </c>
      <c r="I1159" s="341"/>
      <c r="J1159" s="341"/>
      <c r="K1159" s="341" t="e">
        <f t="shared" si="515"/>
        <v>#DIV/0!</v>
      </c>
      <c r="L1159" s="341">
        <f t="shared" si="516"/>
        <v>0</v>
      </c>
      <c r="M1159" s="342"/>
      <c r="N1159" s="341"/>
      <c r="O1159" s="338">
        <f t="shared" si="509"/>
        <v>0</v>
      </c>
      <c r="P1159" s="341"/>
      <c r="Q1159" s="431"/>
      <c r="R1159" s="428">
        <f t="shared" si="517"/>
        <v>0.05</v>
      </c>
      <c r="S1159" s="45">
        <f t="shared" si="519"/>
        <v>0</v>
      </c>
      <c r="T1159" s="425">
        <f t="shared" si="520"/>
        <v>0</v>
      </c>
      <c r="U1159" s="46"/>
      <c r="V1159" s="407">
        <f t="shared" si="521"/>
        <v>0</v>
      </c>
      <c r="W1159" s="45">
        <f t="shared" si="522"/>
        <v>0</v>
      </c>
      <c r="X1159" s="45"/>
      <c r="Y1159" s="45">
        <f t="shared" si="518"/>
        <v>0</v>
      </c>
      <c r="Z1159" s="45" t="e">
        <f t="shared" si="523"/>
        <v>#DIV/0!</v>
      </c>
    </row>
    <row r="1160" spans="1:26" ht="15" hidden="1" outlineLevel="2">
      <c r="C1160" s="1464"/>
      <c r="D1160" s="1464"/>
      <c r="E1160" s="1466"/>
      <c r="F1160" s="1468"/>
      <c r="G1160" s="343"/>
      <c r="H1160" s="340" t="s">
        <v>4</v>
      </c>
      <c r="I1160" s="341"/>
      <c r="J1160" s="341"/>
      <c r="K1160" s="341" t="e">
        <f t="shared" si="515"/>
        <v>#DIV/0!</v>
      </c>
      <c r="L1160" s="341">
        <f t="shared" si="516"/>
        <v>0</v>
      </c>
      <c r="M1160" s="342"/>
      <c r="N1160" s="341"/>
      <c r="O1160" s="338">
        <f t="shared" si="509"/>
        <v>0</v>
      </c>
      <c r="P1160" s="341"/>
      <c r="Q1160" s="431"/>
      <c r="R1160" s="428">
        <f t="shared" si="517"/>
        <v>0.05</v>
      </c>
      <c r="S1160" s="45">
        <f t="shared" si="519"/>
        <v>0</v>
      </c>
      <c r="T1160" s="425">
        <f t="shared" si="520"/>
        <v>0</v>
      </c>
      <c r="U1160" s="46"/>
      <c r="V1160" s="407">
        <f t="shared" si="521"/>
        <v>0</v>
      </c>
      <c r="W1160" s="45">
        <f t="shared" si="522"/>
        <v>0</v>
      </c>
      <c r="X1160" s="45"/>
      <c r="Y1160" s="45">
        <f t="shared" si="518"/>
        <v>0</v>
      </c>
      <c r="Z1160" s="45" t="e">
        <f t="shared" si="523"/>
        <v>#DIV/0!</v>
      </c>
    </row>
    <row r="1161" spans="1:26" ht="15" hidden="1" outlineLevel="2">
      <c r="C1161" s="1464"/>
      <c r="D1161" s="1464"/>
      <c r="E1161" s="1466"/>
      <c r="F1161" s="1468"/>
      <c r="G1161" s="343"/>
      <c r="H1161" s="340" t="s">
        <v>4</v>
      </c>
      <c r="I1161" s="341"/>
      <c r="J1161" s="341"/>
      <c r="K1161" s="341" t="e">
        <f t="shared" si="515"/>
        <v>#DIV/0!</v>
      </c>
      <c r="L1161" s="341">
        <f t="shared" si="516"/>
        <v>0</v>
      </c>
      <c r="M1161" s="342"/>
      <c r="N1161" s="341"/>
      <c r="O1161" s="338">
        <f t="shared" si="509"/>
        <v>0</v>
      </c>
      <c r="P1161" s="341"/>
      <c r="Q1161" s="431"/>
      <c r="R1161" s="428">
        <f t="shared" si="517"/>
        <v>0.05</v>
      </c>
      <c r="S1161" s="45">
        <f t="shared" si="519"/>
        <v>0</v>
      </c>
      <c r="T1161" s="425">
        <f t="shared" si="520"/>
        <v>0</v>
      </c>
      <c r="U1161" s="46"/>
      <c r="V1161" s="407">
        <f t="shared" si="521"/>
        <v>0</v>
      </c>
      <c r="W1161" s="45">
        <f t="shared" si="522"/>
        <v>0</v>
      </c>
      <c r="X1161" s="45"/>
      <c r="Y1161" s="45">
        <f t="shared" si="518"/>
        <v>0</v>
      </c>
      <c r="Z1161" s="45" t="e">
        <f t="shared" si="523"/>
        <v>#DIV/0!</v>
      </c>
    </row>
    <row r="1162" spans="1:26" ht="15" hidden="1" outlineLevel="2">
      <c r="C1162" s="1464"/>
      <c r="D1162" s="1464"/>
      <c r="E1162" s="1466"/>
      <c r="F1162" s="1468"/>
      <c r="G1162" s="343"/>
      <c r="H1162" s="340" t="s">
        <v>4</v>
      </c>
      <c r="I1162" s="341"/>
      <c r="J1162" s="341"/>
      <c r="K1162" s="341" t="e">
        <f t="shared" si="515"/>
        <v>#DIV/0!</v>
      </c>
      <c r="L1162" s="341">
        <f t="shared" si="516"/>
        <v>0</v>
      </c>
      <c r="M1162" s="342"/>
      <c r="N1162" s="341"/>
      <c r="O1162" s="338">
        <f t="shared" si="509"/>
        <v>0</v>
      </c>
      <c r="P1162" s="341"/>
      <c r="Q1162" s="431"/>
      <c r="R1162" s="428">
        <f t="shared" si="517"/>
        <v>0.05</v>
      </c>
      <c r="S1162" s="45">
        <f t="shared" si="519"/>
        <v>0</v>
      </c>
      <c r="T1162" s="425">
        <f t="shared" si="520"/>
        <v>0</v>
      </c>
      <c r="U1162" s="46"/>
      <c r="V1162" s="407">
        <f t="shared" si="521"/>
        <v>0</v>
      </c>
      <c r="W1162" s="45">
        <f t="shared" si="522"/>
        <v>0</v>
      </c>
      <c r="X1162" s="45"/>
      <c r="Y1162" s="45">
        <f t="shared" si="518"/>
        <v>0</v>
      </c>
      <c r="Z1162" s="45" t="e">
        <f t="shared" si="523"/>
        <v>#DIV/0!</v>
      </c>
    </row>
    <row r="1163" spans="1:26" ht="15" hidden="1" outlineLevel="2">
      <c r="C1163" s="1464"/>
      <c r="D1163" s="1464"/>
      <c r="E1163" s="1466"/>
      <c r="F1163" s="1468"/>
      <c r="G1163" s="344"/>
      <c r="H1163" s="340" t="s">
        <v>4</v>
      </c>
      <c r="I1163" s="345"/>
      <c r="J1163" s="345"/>
      <c r="K1163" s="341" t="e">
        <f t="shared" si="515"/>
        <v>#DIV/0!</v>
      </c>
      <c r="L1163" s="341">
        <f t="shared" si="516"/>
        <v>0</v>
      </c>
      <c r="M1163" s="346"/>
      <c r="N1163" s="345"/>
      <c r="O1163" s="338">
        <f t="shared" si="509"/>
        <v>0</v>
      </c>
      <c r="P1163" s="345"/>
      <c r="Q1163" s="432"/>
      <c r="R1163" s="428">
        <f t="shared" si="517"/>
        <v>0.05</v>
      </c>
      <c r="S1163" s="45">
        <f t="shared" si="519"/>
        <v>0</v>
      </c>
      <c r="T1163" s="425">
        <f t="shared" si="520"/>
        <v>0</v>
      </c>
      <c r="U1163" s="46"/>
      <c r="V1163" s="407">
        <f t="shared" si="521"/>
        <v>0</v>
      </c>
      <c r="W1163" s="45">
        <f t="shared" si="522"/>
        <v>0</v>
      </c>
      <c r="X1163" s="45"/>
      <c r="Y1163" s="45">
        <f t="shared" si="518"/>
        <v>0</v>
      </c>
      <c r="Z1163" s="45" t="e">
        <f t="shared" si="523"/>
        <v>#DIV/0!</v>
      </c>
    </row>
    <row r="1164" spans="1:26" ht="15" hidden="1" outlineLevel="2">
      <c r="C1164" s="1464"/>
      <c r="D1164" s="1464"/>
      <c r="E1164" s="1466"/>
      <c r="F1164" s="1468"/>
      <c r="G1164" s="343"/>
      <c r="H1164" s="340" t="s">
        <v>4</v>
      </c>
      <c r="I1164" s="341"/>
      <c r="J1164" s="341"/>
      <c r="K1164" s="341" t="e">
        <f t="shared" si="515"/>
        <v>#DIV/0!</v>
      </c>
      <c r="L1164" s="341">
        <f t="shared" si="516"/>
        <v>0</v>
      </c>
      <c r="M1164" s="342"/>
      <c r="N1164" s="341"/>
      <c r="O1164" s="338">
        <f t="shared" si="509"/>
        <v>0</v>
      </c>
      <c r="P1164" s="341"/>
      <c r="Q1164" s="431"/>
      <c r="R1164" s="428">
        <f t="shared" si="517"/>
        <v>0.05</v>
      </c>
      <c r="S1164" s="45">
        <f t="shared" si="519"/>
        <v>0</v>
      </c>
      <c r="T1164" s="425">
        <f t="shared" si="520"/>
        <v>0</v>
      </c>
      <c r="U1164" s="46"/>
      <c r="V1164" s="407">
        <f t="shared" si="521"/>
        <v>0</v>
      </c>
      <c r="W1164" s="45">
        <f t="shared" si="522"/>
        <v>0</v>
      </c>
      <c r="X1164" s="45"/>
      <c r="Y1164" s="45">
        <f t="shared" si="518"/>
        <v>0</v>
      </c>
      <c r="Z1164" s="45" t="e">
        <f t="shared" si="523"/>
        <v>#DIV/0!</v>
      </c>
    </row>
    <row r="1165" spans="1:26" ht="15" hidden="1" outlineLevel="2">
      <c r="C1165" s="1464"/>
      <c r="D1165" s="1464"/>
      <c r="E1165" s="1466"/>
      <c r="F1165" s="1468"/>
      <c r="G1165" s="1470" t="s">
        <v>45</v>
      </c>
      <c r="H1165" s="1471"/>
      <c r="I1165" s="347">
        <f>SUM(I1155:I1164)</f>
        <v>0</v>
      </c>
      <c r="J1165" s="347">
        <f t="shared" ref="J1165" si="524">SUM(J1155:J1164)</f>
        <v>0</v>
      </c>
      <c r="K1165" s="347">
        <f>SUMIFS(K1155:K1164,K1155:K1164,"&lt;&gt;",K1155:K1164,"&lt;"&amp;99^99)</f>
        <v>0</v>
      </c>
      <c r="L1165" s="347">
        <f>SUMIFS(L1155:L1164,L1155:L1164,"&lt;&gt;",L1155:L1164,"&lt;"&amp;99^99)</f>
        <v>0</v>
      </c>
      <c r="M1165" s="348"/>
      <c r="N1165" s="347">
        <f>N1155</f>
        <v>0</v>
      </c>
      <c r="O1165" s="349">
        <f t="shared" si="509"/>
        <v>0</v>
      </c>
      <c r="P1165" s="347">
        <f t="shared" ref="P1165:Q1165" si="525">SUM(P1155:P1164)</f>
        <v>0</v>
      </c>
      <c r="Q1165" s="433">
        <f t="shared" si="525"/>
        <v>0</v>
      </c>
      <c r="R1165" s="55" t="str">
        <f t="shared" si="517"/>
        <v/>
      </c>
      <c r="S1165" s="408">
        <f>SUM(S1155:S1164)</f>
        <v>0</v>
      </c>
      <c r="T1165" s="426">
        <f t="shared" ref="T1165" si="526">SUM(T1155:T1164)</f>
        <v>0</v>
      </c>
      <c r="U1165" s="408"/>
      <c r="V1165" s="408"/>
      <c r="W1165" s="408">
        <f t="shared" ref="W1165" si="527">SUM(W1155:W1164)</f>
        <v>0</v>
      </c>
      <c r="X1165" s="408"/>
      <c r="Y1165" s="408">
        <f t="shared" ref="Y1165" si="528">SUM(Y1155:Y1164)</f>
        <v>0</v>
      </c>
      <c r="Z1165" s="408">
        <f>SUMIFS(Z1155:Z1164,Y1155:Y1164,"&lt;&gt;",Z1155:Z1164,"&lt;"&amp;99^99)</f>
        <v>0</v>
      </c>
    </row>
    <row r="1166" spans="1:26" ht="15" hidden="1" outlineLevel="2">
      <c r="C1166" s="1464"/>
      <c r="D1166" s="1464"/>
      <c r="E1166" s="1466"/>
      <c r="F1166" s="1468"/>
      <c r="G1166" s="350"/>
      <c r="H1166" s="335" t="s">
        <v>28</v>
      </c>
      <c r="I1166" s="336"/>
      <c r="J1166" s="336"/>
      <c r="K1166" s="341" t="e">
        <f t="shared" ref="K1166:K1175" si="529">Z1166</f>
        <v>#DIV/0!</v>
      </c>
      <c r="L1166" s="341">
        <f t="shared" ref="L1166:L1175" si="530">AA1166</f>
        <v>0</v>
      </c>
      <c r="M1166" s="337"/>
      <c r="N1166" s="336"/>
      <c r="O1166" s="338">
        <f t="shared" si="509"/>
        <v>0</v>
      </c>
      <c r="P1166" s="336"/>
      <c r="Q1166" s="430"/>
      <c r="R1166" s="428">
        <f t="shared" si="517"/>
        <v>3.5000000000000003E-2</v>
      </c>
      <c r="S1166" s="45">
        <f t="shared" ref="S1166:S1175" si="531">R1166*J1166</f>
        <v>0</v>
      </c>
      <c r="T1166" s="425">
        <f t="shared" ref="T1166:T1175" si="532">R1166*I1166</f>
        <v>0</v>
      </c>
      <c r="U1166" s="46"/>
      <c r="V1166" s="407">
        <f t="shared" ref="V1166:V1175" si="533">U1166/12</f>
        <v>0</v>
      </c>
      <c r="W1166" s="45">
        <f t="shared" ref="W1166:W1175" si="534">T1166*V1166</f>
        <v>0</v>
      </c>
      <c r="X1166" s="45"/>
      <c r="Y1166" s="45">
        <f t="shared" ref="Y1166:Y1175" si="535">I1166+W1166</f>
        <v>0</v>
      </c>
      <c r="Z1166" s="45" t="e">
        <f t="shared" ref="Z1166:Z1175" si="536">Y1166/U1166</f>
        <v>#DIV/0!</v>
      </c>
    </row>
    <row r="1167" spans="1:26" ht="15" hidden="1" outlineLevel="2">
      <c r="C1167" s="1464"/>
      <c r="D1167" s="1464"/>
      <c r="E1167" s="1466"/>
      <c r="F1167" s="1468"/>
      <c r="G1167" s="343"/>
      <c r="H1167" s="335" t="s">
        <v>28</v>
      </c>
      <c r="I1167" s="341"/>
      <c r="J1167" s="341"/>
      <c r="K1167" s="341" t="e">
        <f t="shared" si="529"/>
        <v>#DIV/0!</v>
      </c>
      <c r="L1167" s="341">
        <f t="shared" si="530"/>
        <v>0</v>
      </c>
      <c r="M1167" s="342"/>
      <c r="N1167" s="341"/>
      <c r="O1167" s="338">
        <f t="shared" si="509"/>
        <v>0</v>
      </c>
      <c r="P1167" s="341"/>
      <c r="Q1167" s="431"/>
      <c r="R1167" s="428">
        <f t="shared" si="517"/>
        <v>3.5000000000000003E-2</v>
      </c>
      <c r="S1167" s="45">
        <f t="shared" si="531"/>
        <v>0</v>
      </c>
      <c r="T1167" s="425">
        <f t="shared" si="532"/>
        <v>0</v>
      </c>
      <c r="U1167" s="46"/>
      <c r="V1167" s="407">
        <f t="shared" si="533"/>
        <v>0</v>
      </c>
      <c r="W1167" s="45">
        <f t="shared" si="534"/>
        <v>0</v>
      </c>
      <c r="X1167" s="45"/>
      <c r="Y1167" s="45">
        <f t="shared" si="535"/>
        <v>0</v>
      </c>
      <c r="Z1167" s="45" t="e">
        <f t="shared" si="536"/>
        <v>#DIV/0!</v>
      </c>
    </row>
    <row r="1168" spans="1:26" ht="15" hidden="1" outlineLevel="2">
      <c r="C1168" s="1464"/>
      <c r="D1168" s="1464"/>
      <c r="E1168" s="1466"/>
      <c r="F1168" s="1468"/>
      <c r="G1168" s="343"/>
      <c r="H1168" s="335" t="s">
        <v>28</v>
      </c>
      <c r="I1168" s="341"/>
      <c r="J1168" s="341"/>
      <c r="K1168" s="341" t="e">
        <f t="shared" si="529"/>
        <v>#DIV/0!</v>
      </c>
      <c r="L1168" s="341">
        <f t="shared" si="530"/>
        <v>0</v>
      </c>
      <c r="M1168" s="337"/>
      <c r="N1168" s="341"/>
      <c r="O1168" s="338">
        <f t="shared" si="509"/>
        <v>0</v>
      </c>
      <c r="P1168" s="341"/>
      <c r="Q1168" s="431"/>
      <c r="R1168" s="428">
        <f t="shared" si="517"/>
        <v>3.5000000000000003E-2</v>
      </c>
      <c r="S1168" s="45">
        <f t="shared" si="531"/>
        <v>0</v>
      </c>
      <c r="T1168" s="425">
        <f t="shared" si="532"/>
        <v>0</v>
      </c>
      <c r="U1168" s="46"/>
      <c r="V1168" s="407">
        <f t="shared" si="533"/>
        <v>0</v>
      </c>
      <c r="W1168" s="45">
        <f t="shared" si="534"/>
        <v>0</v>
      </c>
      <c r="X1168" s="45"/>
      <c r="Y1168" s="45">
        <f t="shared" si="535"/>
        <v>0</v>
      </c>
      <c r="Z1168" s="45" t="e">
        <f t="shared" si="536"/>
        <v>#DIV/0!</v>
      </c>
    </row>
    <row r="1169" spans="3:26" ht="15" hidden="1" outlineLevel="2">
      <c r="C1169" s="1464"/>
      <c r="D1169" s="1464"/>
      <c r="E1169" s="1466"/>
      <c r="F1169" s="1468"/>
      <c r="G1169" s="343"/>
      <c r="H1169" s="335" t="s">
        <v>28</v>
      </c>
      <c r="I1169" s="341"/>
      <c r="J1169" s="341"/>
      <c r="K1169" s="341" t="e">
        <f t="shared" si="529"/>
        <v>#DIV/0!</v>
      </c>
      <c r="L1169" s="341">
        <f t="shared" si="530"/>
        <v>0</v>
      </c>
      <c r="M1169" s="342"/>
      <c r="N1169" s="341"/>
      <c r="O1169" s="338">
        <f t="shared" si="509"/>
        <v>0</v>
      </c>
      <c r="P1169" s="341"/>
      <c r="Q1169" s="431"/>
      <c r="R1169" s="428">
        <f t="shared" si="517"/>
        <v>3.5000000000000003E-2</v>
      </c>
      <c r="S1169" s="45">
        <f t="shared" si="531"/>
        <v>0</v>
      </c>
      <c r="T1169" s="425">
        <f t="shared" si="532"/>
        <v>0</v>
      </c>
      <c r="U1169" s="46"/>
      <c r="V1169" s="407">
        <f t="shared" si="533"/>
        <v>0</v>
      </c>
      <c r="W1169" s="45">
        <f t="shared" si="534"/>
        <v>0</v>
      </c>
      <c r="X1169" s="45"/>
      <c r="Y1169" s="45">
        <f t="shared" si="535"/>
        <v>0</v>
      </c>
      <c r="Z1169" s="45" t="e">
        <f t="shared" si="536"/>
        <v>#DIV/0!</v>
      </c>
    </row>
    <row r="1170" spans="3:26" ht="15" hidden="1" outlineLevel="2">
      <c r="C1170" s="1464"/>
      <c r="D1170" s="1464"/>
      <c r="E1170" s="1466"/>
      <c r="F1170" s="1468"/>
      <c r="G1170" s="343"/>
      <c r="H1170" s="335" t="s">
        <v>28</v>
      </c>
      <c r="I1170" s="341"/>
      <c r="J1170" s="341"/>
      <c r="K1170" s="341" t="e">
        <f t="shared" si="529"/>
        <v>#DIV/0!</v>
      </c>
      <c r="L1170" s="341">
        <f t="shared" si="530"/>
        <v>0</v>
      </c>
      <c r="M1170" s="342"/>
      <c r="N1170" s="341"/>
      <c r="O1170" s="338">
        <f t="shared" si="509"/>
        <v>0</v>
      </c>
      <c r="P1170" s="341"/>
      <c r="Q1170" s="431"/>
      <c r="R1170" s="428">
        <f t="shared" si="517"/>
        <v>3.5000000000000003E-2</v>
      </c>
      <c r="S1170" s="45">
        <f t="shared" si="531"/>
        <v>0</v>
      </c>
      <c r="T1170" s="425">
        <f t="shared" si="532"/>
        <v>0</v>
      </c>
      <c r="U1170" s="46"/>
      <c r="V1170" s="407">
        <f t="shared" si="533"/>
        <v>0</v>
      </c>
      <c r="W1170" s="45">
        <f t="shared" si="534"/>
        <v>0</v>
      </c>
      <c r="X1170" s="45"/>
      <c r="Y1170" s="45">
        <f t="shared" si="535"/>
        <v>0</v>
      </c>
      <c r="Z1170" s="45" t="e">
        <f t="shared" si="536"/>
        <v>#DIV/0!</v>
      </c>
    </row>
    <row r="1171" spans="3:26" ht="15" hidden="1" outlineLevel="2">
      <c r="C1171" s="1464"/>
      <c r="D1171" s="1464"/>
      <c r="E1171" s="1466"/>
      <c r="F1171" s="1468"/>
      <c r="G1171" s="343"/>
      <c r="H1171" s="335" t="s">
        <v>28</v>
      </c>
      <c r="I1171" s="341"/>
      <c r="J1171" s="341"/>
      <c r="K1171" s="341" t="e">
        <f t="shared" si="529"/>
        <v>#DIV/0!</v>
      </c>
      <c r="L1171" s="341">
        <f t="shared" si="530"/>
        <v>0</v>
      </c>
      <c r="M1171" s="342"/>
      <c r="N1171" s="341"/>
      <c r="O1171" s="338">
        <f t="shared" si="509"/>
        <v>0</v>
      </c>
      <c r="P1171" s="341"/>
      <c r="Q1171" s="431"/>
      <c r="R1171" s="428">
        <f t="shared" si="517"/>
        <v>3.5000000000000003E-2</v>
      </c>
      <c r="S1171" s="45">
        <f t="shared" si="531"/>
        <v>0</v>
      </c>
      <c r="T1171" s="425">
        <f t="shared" si="532"/>
        <v>0</v>
      </c>
      <c r="U1171" s="46"/>
      <c r="V1171" s="407">
        <f t="shared" si="533"/>
        <v>0</v>
      </c>
      <c r="W1171" s="45">
        <f t="shared" si="534"/>
        <v>0</v>
      </c>
      <c r="X1171" s="45"/>
      <c r="Y1171" s="45">
        <f t="shared" si="535"/>
        <v>0</v>
      </c>
      <c r="Z1171" s="45" t="e">
        <f t="shared" si="536"/>
        <v>#DIV/0!</v>
      </c>
    </row>
    <row r="1172" spans="3:26" ht="15" hidden="1" outlineLevel="2">
      <c r="C1172" s="1464"/>
      <c r="D1172" s="1464"/>
      <c r="E1172" s="1466"/>
      <c r="F1172" s="1468"/>
      <c r="G1172" s="343"/>
      <c r="H1172" s="335" t="s">
        <v>28</v>
      </c>
      <c r="I1172" s="341"/>
      <c r="J1172" s="341"/>
      <c r="K1172" s="341" t="e">
        <f t="shared" si="529"/>
        <v>#DIV/0!</v>
      </c>
      <c r="L1172" s="341">
        <f t="shared" si="530"/>
        <v>0</v>
      </c>
      <c r="M1172" s="342"/>
      <c r="N1172" s="341"/>
      <c r="O1172" s="338">
        <f t="shared" si="509"/>
        <v>0</v>
      </c>
      <c r="P1172" s="341"/>
      <c r="Q1172" s="431"/>
      <c r="R1172" s="428">
        <f t="shared" si="517"/>
        <v>3.5000000000000003E-2</v>
      </c>
      <c r="S1172" s="45">
        <f t="shared" si="531"/>
        <v>0</v>
      </c>
      <c r="T1172" s="425">
        <f t="shared" si="532"/>
        <v>0</v>
      </c>
      <c r="U1172" s="46"/>
      <c r="V1172" s="407">
        <f t="shared" si="533"/>
        <v>0</v>
      </c>
      <c r="W1172" s="45">
        <f t="shared" si="534"/>
        <v>0</v>
      </c>
      <c r="X1172" s="45"/>
      <c r="Y1172" s="45">
        <f t="shared" si="535"/>
        <v>0</v>
      </c>
      <c r="Z1172" s="45" t="e">
        <f t="shared" si="536"/>
        <v>#DIV/0!</v>
      </c>
    </row>
    <row r="1173" spans="3:26" ht="15" hidden="1" outlineLevel="2">
      <c r="C1173" s="1464"/>
      <c r="D1173" s="1464"/>
      <c r="E1173" s="1466"/>
      <c r="F1173" s="1468"/>
      <c r="G1173" s="343"/>
      <c r="H1173" s="335" t="s">
        <v>28</v>
      </c>
      <c r="I1173" s="341"/>
      <c r="J1173" s="341"/>
      <c r="K1173" s="341" t="e">
        <f t="shared" si="529"/>
        <v>#DIV/0!</v>
      </c>
      <c r="L1173" s="341">
        <f t="shared" si="530"/>
        <v>0</v>
      </c>
      <c r="M1173" s="342"/>
      <c r="N1173" s="341"/>
      <c r="O1173" s="338">
        <f t="shared" si="509"/>
        <v>0</v>
      </c>
      <c r="P1173" s="341"/>
      <c r="Q1173" s="431"/>
      <c r="R1173" s="428">
        <f t="shared" si="517"/>
        <v>3.5000000000000003E-2</v>
      </c>
      <c r="S1173" s="45">
        <f t="shared" si="531"/>
        <v>0</v>
      </c>
      <c r="T1173" s="425">
        <f t="shared" si="532"/>
        <v>0</v>
      </c>
      <c r="U1173" s="46"/>
      <c r="V1173" s="407">
        <f t="shared" si="533"/>
        <v>0</v>
      </c>
      <c r="W1173" s="45">
        <f t="shared" si="534"/>
        <v>0</v>
      </c>
      <c r="X1173" s="45"/>
      <c r="Y1173" s="45">
        <f t="shared" si="535"/>
        <v>0</v>
      </c>
      <c r="Z1173" s="45" t="e">
        <f t="shared" si="536"/>
        <v>#DIV/0!</v>
      </c>
    </row>
    <row r="1174" spans="3:26" ht="15" hidden="1" outlineLevel="2">
      <c r="C1174" s="1464"/>
      <c r="D1174" s="1464"/>
      <c r="E1174" s="1466"/>
      <c r="F1174" s="1468"/>
      <c r="G1174" s="344"/>
      <c r="H1174" s="335" t="s">
        <v>28</v>
      </c>
      <c r="I1174" s="345"/>
      <c r="J1174" s="345"/>
      <c r="K1174" s="341" t="e">
        <f t="shared" si="529"/>
        <v>#DIV/0!</v>
      </c>
      <c r="L1174" s="341">
        <f t="shared" si="530"/>
        <v>0</v>
      </c>
      <c r="M1174" s="346"/>
      <c r="N1174" s="345"/>
      <c r="O1174" s="338">
        <f t="shared" si="509"/>
        <v>0</v>
      </c>
      <c r="P1174" s="345"/>
      <c r="Q1174" s="432"/>
      <c r="R1174" s="428">
        <f t="shared" si="517"/>
        <v>3.5000000000000003E-2</v>
      </c>
      <c r="S1174" s="45">
        <f t="shared" si="531"/>
        <v>0</v>
      </c>
      <c r="T1174" s="425">
        <f t="shared" si="532"/>
        <v>0</v>
      </c>
      <c r="U1174" s="46"/>
      <c r="V1174" s="407">
        <f t="shared" si="533"/>
        <v>0</v>
      </c>
      <c r="W1174" s="45">
        <f t="shared" si="534"/>
        <v>0</v>
      </c>
      <c r="X1174" s="45"/>
      <c r="Y1174" s="45">
        <f t="shared" si="535"/>
        <v>0</v>
      </c>
      <c r="Z1174" s="45" t="e">
        <f t="shared" si="536"/>
        <v>#DIV/0!</v>
      </c>
    </row>
    <row r="1175" spans="3:26" ht="15" hidden="1" outlineLevel="2">
      <c r="C1175" s="1464"/>
      <c r="D1175" s="1464"/>
      <c r="E1175" s="1466"/>
      <c r="F1175" s="1468"/>
      <c r="G1175" s="343"/>
      <c r="H1175" s="335" t="s">
        <v>28</v>
      </c>
      <c r="I1175" s="341"/>
      <c r="J1175" s="341"/>
      <c r="K1175" s="341" t="e">
        <f t="shared" si="529"/>
        <v>#DIV/0!</v>
      </c>
      <c r="L1175" s="341">
        <f t="shared" si="530"/>
        <v>0</v>
      </c>
      <c r="M1175" s="342"/>
      <c r="N1175" s="341"/>
      <c r="O1175" s="338">
        <f t="shared" si="509"/>
        <v>0</v>
      </c>
      <c r="P1175" s="341"/>
      <c r="Q1175" s="431"/>
      <c r="R1175" s="428">
        <f t="shared" si="517"/>
        <v>3.5000000000000003E-2</v>
      </c>
      <c r="S1175" s="45">
        <f t="shared" si="531"/>
        <v>0</v>
      </c>
      <c r="T1175" s="425">
        <f t="shared" si="532"/>
        <v>0</v>
      </c>
      <c r="U1175" s="46"/>
      <c r="V1175" s="407">
        <f t="shared" si="533"/>
        <v>0</v>
      </c>
      <c r="W1175" s="45">
        <f t="shared" si="534"/>
        <v>0</v>
      </c>
      <c r="X1175" s="45"/>
      <c r="Y1175" s="45">
        <f t="shared" si="535"/>
        <v>0</v>
      </c>
      <c r="Z1175" s="45" t="e">
        <f t="shared" si="536"/>
        <v>#DIV/0!</v>
      </c>
    </row>
    <row r="1176" spans="3:26" ht="15" hidden="1" outlineLevel="2">
      <c r="C1176" s="1464"/>
      <c r="D1176" s="1464"/>
      <c r="E1176" s="1466"/>
      <c r="F1176" s="1468"/>
      <c r="G1176" s="1470" t="s">
        <v>51</v>
      </c>
      <c r="H1176" s="1471"/>
      <c r="I1176" s="347">
        <f>SUM(I1166:I1175)</f>
        <v>0</v>
      </c>
      <c r="J1176" s="347">
        <f t="shared" ref="J1176" si="537">SUM(J1166:J1175)</f>
        <v>0</v>
      </c>
      <c r="K1176" s="347">
        <f>SUMIFS(K1166:K1175,K1166:K1175,"&lt;&gt;",K1166:K1175,"&lt;"&amp;99^99)</f>
        <v>0</v>
      </c>
      <c r="L1176" s="347">
        <f>SUMIFS(L1166:L1175,L1166:L1175,"&lt;&gt;",L1166:L1175,"&lt;"&amp;99^99)</f>
        <v>0</v>
      </c>
      <c r="M1176" s="348"/>
      <c r="N1176" s="347">
        <f>N1166</f>
        <v>0</v>
      </c>
      <c r="O1176" s="349">
        <f t="shared" si="509"/>
        <v>0</v>
      </c>
      <c r="P1176" s="347">
        <f t="shared" ref="P1176:Q1176" si="538">SUM(P1166:P1175)</f>
        <v>0</v>
      </c>
      <c r="Q1176" s="433">
        <f t="shared" si="538"/>
        <v>0</v>
      </c>
      <c r="R1176" s="55" t="str">
        <f t="shared" si="517"/>
        <v/>
      </c>
      <c r="S1176" s="408">
        <f>SUM(S1166:S1175)</f>
        <v>0</v>
      </c>
      <c r="T1176" s="426">
        <f t="shared" ref="T1176" si="539">SUM(T1166:T1175)</f>
        <v>0</v>
      </c>
      <c r="U1176" s="408"/>
      <c r="V1176" s="408"/>
      <c r="W1176" s="408">
        <f t="shared" ref="W1176" si="540">SUM(W1166:W1175)</f>
        <v>0</v>
      </c>
      <c r="X1176" s="408"/>
      <c r="Y1176" s="408">
        <f t="shared" ref="Y1176" si="541">SUM(Y1166:Y1175)</f>
        <v>0</v>
      </c>
      <c r="Z1176" s="408">
        <f>SUMIFS(Z1166:Z1175,Y1166:Y1175,"&lt;&gt;",Z1166:Z1175,"&lt;"&amp;99^99)</f>
        <v>0</v>
      </c>
    </row>
    <row r="1177" spans="3:26" ht="15" hidden="1" outlineLevel="2">
      <c r="C1177" s="1464"/>
      <c r="D1177" s="1464"/>
      <c r="E1177" s="1466"/>
      <c r="F1177" s="1468"/>
      <c r="G1177" s="351"/>
      <c r="H1177" s="335" t="s">
        <v>22</v>
      </c>
      <c r="I1177" s="336"/>
      <c r="J1177" s="336"/>
      <c r="K1177" s="341"/>
      <c r="L1177" s="341"/>
      <c r="M1177" s="352"/>
      <c r="N1177" s="336"/>
      <c r="O1177" s="338">
        <f t="shared" si="509"/>
        <v>0</v>
      </c>
      <c r="P1177" s="336"/>
      <c r="Q1177" s="430"/>
      <c r="R1177" s="428">
        <f t="shared" si="517"/>
        <v>3.5000000000000003E-2</v>
      </c>
      <c r="S1177" s="45">
        <f t="shared" ref="S1177:S1186" si="542">R1177*J1177</f>
        <v>0</v>
      </c>
      <c r="T1177" s="425">
        <f t="shared" ref="T1177:T1186" si="543">R1177*I1177</f>
        <v>0</v>
      </c>
      <c r="U1177" s="46">
        <v>0</v>
      </c>
      <c r="V1177" s="407">
        <f>U1177/12</f>
        <v>0</v>
      </c>
      <c r="W1177" s="45">
        <f>T1177*V1177</f>
        <v>0</v>
      </c>
      <c r="X1177" s="45"/>
      <c r="Y1177" s="45">
        <f t="shared" ref="Y1177:Y1186" si="544">I1177+W1177</f>
        <v>0</v>
      </c>
      <c r="Z1177" s="45" t="e">
        <f t="shared" ref="Z1177:Z1186" si="545">Y1177/U1177</f>
        <v>#DIV/0!</v>
      </c>
    </row>
    <row r="1178" spans="3:26" ht="15" hidden="1" outlineLevel="2">
      <c r="C1178" s="1464"/>
      <c r="D1178" s="1464"/>
      <c r="E1178" s="1466"/>
      <c r="F1178" s="1468"/>
      <c r="G1178" s="343"/>
      <c r="H1178" s="335" t="s">
        <v>22</v>
      </c>
      <c r="I1178" s="341"/>
      <c r="J1178" s="341"/>
      <c r="K1178" s="341" t="e">
        <f t="shared" ref="K1178:K1186" si="546">Z1178</f>
        <v>#DIV/0!</v>
      </c>
      <c r="L1178" s="341">
        <f t="shared" ref="L1178:L1186" si="547">AA1178</f>
        <v>0</v>
      </c>
      <c r="M1178" s="342"/>
      <c r="N1178" s="341"/>
      <c r="O1178" s="338">
        <f t="shared" si="509"/>
        <v>0</v>
      </c>
      <c r="P1178" s="341"/>
      <c r="Q1178" s="431"/>
      <c r="R1178" s="428">
        <f t="shared" si="517"/>
        <v>3.5000000000000003E-2</v>
      </c>
      <c r="S1178" s="45">
        <f t="shared" si="542"/>
        <v>0</v>
      </c>
      <c r="T1178" s="425">
        <f t="shared" si="543"/>
        <v>0</v>
      </c>
      <c r="U1178" s="46"/>
      <c r="V1178" s="407">
        <f t="shared" ref="V1178:V1186" si="548">U1178/12</f>
        <v>0</v>
      </c>
      <c r="W1178" s="45">
        <f t="shared" ref="W1178:W1186" si="549">T1178*V1178</f>
        <v>0</v>
      </c>
      <c r="X1178" s="45"/>
      <c r="Y1178" s="45">
        <f t="shared" si="544"/>
        <v>0</v>
      </c>
      <c r="Z1178" s="45" t="e">
        <f t="shared" si="545"/>
        <v>#DIV/0!</v>
      </c>
    </row>
    <row r="1179" spans="3:26" ht="15" hidden="1" outlineLevel="2">
      <c r="C1179" s="1464"/>
      <c r="D1179" s="1464"/>
      <c r="E1179" s="1466"/>
      <c r="F1179" s="1468"/>
      <c r="G1179" s="343"/>
      <c r="H1179" s="335" t="s">
        <v>22</v>
      </c>
      <c r="I1179" s="341"/>
      <c r="J1179" s="341"/>
      <c r="K1179" s="341" t="e">
        <f t="shared" si="546"/>
        <v>#DIV/0!</v>
      </c>
      <c r="L1179" s="341">
        <f t="shared" si="547"/>
        <v>0</v>
      </c>
      <c r="M1179" s="337"/>
      <c r="N1179" s="341"/>
      <c r="O1179" s="338">
        <f t="shared" si="509"/>
        <v>0</v>
      </c>
      <c r="P1179" s="341"/>
      <c r="Q1179" s="431"/>
      <c r="R1179" s="428">
        <f t="shared" si="517"/>
        <v>3.5000000000000003E-2</v>
      </c>
      <c r="S1179" s="45">
        <f t="shared" si="542"/>
        <v>0</v>
      </c>
      <c r="T1179" s="425">
        <f t="shared" si="543"/>
        <v>0</v>
      </c>
      <c r="U1179" s="46"/>
      <c r="V1179" s="407">
        <f t="shared" si="548"/>
        <v>0</v>
      </c>
      <c r="W1179" s="45">
        <f t="shared" si="549"/>
        <v>0</v>
      </c>
      <c r="X1179" s="45"/>
      <c r="Y1179" s="45">
        <f t="shared" si="544"/>
        <v>0</v>
      </c>
      <c r="Z1179" s="45" t="e">
        <f t="shared" si="545"/>
        <v>#DIV/0!</v>
      </c>
    </row>
    <row r="1180" spans="3:26" ht="15" hidden="1" outlineLevel="2">
      <c r="C1180" s="1464"/>
      <c r="D1180" s="1464"/>
      <c r="E1180" s="1466"/>
      <c r="F1180" s="1468"/>
      <c r="G1180" s="343"/>
      <c r="H1180" s="335" t="s">
        <v>22</v>
      </c>
      <c r="I1180" s="341"/>
      <c r="J1180" s="341"/>
      <c r="K1180" s="341" t="e">
        <f t="shared" si="546"/>
        <v>#DIV/0!</v>
      </c>
      <c r="L1180" s="341">
        <f t="shared" si="547"/>
        <v>0</v>
      </c>
      <c r="M1180" s="342"/>
      <c r="N1180" s="341"/>
      <c r="O1180" s="338">
        <f t="shared" si="509"/>
        <v>0</v>
      </c>
      <c r="P1180" s="341"/>
      <c r="Q1180" s="431"/>
      <c r="R1180" s="428">
        <f t="shared" si="517"/>
        <v>3.5000000000000003E-2</v>
      </c>
      <c r="S1180" s="45">
        <f t="shared" si="542"/>
        <v>0</v>
      </c>
      <c r="T1180" s="425">
        <f t="shared" si="543"/>
        <v>0</v>
      </c>
      <c r="U1180" s="46"/>
      <c r="V1180" s="407">
        <f t="shared" si="548"/>
        <v>0</v>
      </c>
      <c r="W1180" s="45">
        <f t="shared" si="549"/>
        <v>0</v>
      </c>
      <c r="X1180" s="45"/>
      <c r="Y1180" s="45">
        <f t="shared" si="544"/>
        <v>0</v>
      </c>
      <c r="Z1180" s="45" t="e">
        <f t="shared" si="545"/>
        <v>#DIV/0!</v>
      </c>
    </row>
    <row r="1181" spans="3:26" ht="15" hidden="1" outlineLevel="2">
      <c r="C1181" s="1464"/>
      <c r="D1181" s="1464"/>
      <c r="E1181" s="1466"/>
      <c r="F1181" s="1468"/>
      <c r="G1181" s="343"/>
      <c r="H1181" s="335" t="s">
        <v>22</v>
      </c>
      <c r="I1181" s="341"/>
      <c r="J1181" s="341"/>
      <c r="K1181" s="341" t="e">
        <f t="shared" si="546"/>
        <v>#DIV/0!</v>
      </c>
      <c r="L1181" s="341">
        <f t="shared" si="547"/>
        <v>0</v>
      </c>
      <c r="M1181" s="342"/>
      <c r="N1181" s="341"/>
      <c r="O1181" s="338">
        <f t="shared" si="509"/>
        <v>0</v>
      </c>
      <c r="P1181" s="341"/>
      <c r="Q1181" s="431"/>
      <c r="R1181" s="428">
        <f t="shared" si="517"/>
        <v>3.5000000000000003E-2</v>
      </c>
      <c r="S1181" s="45">
        <f t="shared" si="542"/>
        <v>0</v>
      </c>
      <c r="T1181" s="425">
        <f t="shared" si="543"/>
        <v>0</v>
      </c>
      <c r="U1181" s="46"/>
      <c r="V1181" s="407">
        <f t="shared" si="548"/>
        <v>0</v>
      </c>
      <c r="W1181" s="45">
        <f t="shared" si="549"/>
        <v>0</v>
      </c>
      <c r="X1181" s="45"/>
      <c r="Y1181" s="45">
        <f t="shared" si="544"/>
        <v>0</v>
      </c>
      <c r="Z1181" s="45" t="e">
        <f t="shared" si="545"/>
        <v>#DIV/0!</v>
      </c>
    </row>
    <row r="1182" spans="3:26" ht="15" hidden="1" outlineLevel="2">
      <c r="C1182" s="1464"/>
      <c r="D1182" s="1464"/>
      <c r="E1182" s="1466"/>
      <c r="F1182" s="1468"/>
      <c r="G1182" s="343"/>
      <c r="H1182" s="335" t="s">
        <v>22</v>
      </c>
      <c r="I1182" s="341"/>
      <c r="J1182" s="341"/>
      <c r="K1182" s="341" t="e">
        <f t="shared" si="546"/>
        <v>#DIV/0!</v>
      </c>
      <c r="L1182" s="341">
        <f t="shared" si="547"/>
        <v>0</v>
      </c>
      <c r="M1182" s="342"/>
      <c r="N1182" s="341"/>
      <c r="O1182" s="338">
        <f t="shared" si="509"/>
        <v>0</v>
      </c>
      <c r="P1182" s="341"/>
      <c r="Q1182" s="431"/>
      <c r="R1182" s="428">
        <f t="shared" si="517"/>
        <v>3.5000000000000003E-2</v>
      </c>
      <c r="S1182" s="45">
        <f t="shared" si="542"/>
        <v>0</v>
      </c>
      <c r="T1182" s="425">
        <f t="shared" si="543"/>
        <v>0</v>
      </c>
      <c r="U1182" s="46"/>
      <c r="V1182" s="407">
        <f t="shared" si="548"/>
        <v>0</v>
      </c>
      <c r="W1182" s="45">
        <f t="shared" si="549"/>
        <v>0</v>
      </c>
      <c r="X1182" s="45"/>
      <c r="Y1182" s="45">
        <f t="shared" si="544"/>
        <v>0</v>
      </c>
      <c r="Z1182" s="45" t="e">
        <f t="shared" si="545"/>
        <v>#DIV/0!</v>
      </c>
    </row>
    <row r="1183" spans="3:26" ht="15" hidden="1" outlineLevel="2">
      <c r="C1183" s="1464"/>
      <c r="D1183" s="1464"/>
      <c r="E1183" s="1466"/>
      <c r="F1183" s="1468"/>
      <c r="G1183" s="343"/>
      <c r="H1183" s="335" t="s">
        <v>22</v>
      </c>
      <c r="I1183" s="341"/>
      <c r="J1183" s="341"/>
      <c r="K1183" s="341" t="e">
        <f t="shared" si="546"/>
        <v>#DIV/0!</v>
      </c>
      <c r="L1183" s="341">
        <f t="shared" si="547"/>
        <v>0</v>
      </c>
      <c r="M1183" s="342"/>
      <c r="N1183" s="341"/>
      <c r="O1183" s="338">
        <f t="shared" si="509"/>
        <v>0</v>
      </c>
      <c r="P1183" s="341"/>
      <c r="Q1183" s="431"/>
      <c r="R1183" s="428">
        <f t="shared" si="517"/>
        <v>3.5000000000000003E-2</v>
      </c>
      <c r="S1183" s="45">
        <f t="shared" si="542"/>
        <v>0</v>
      </c>
      <c r="T1183" s="425">
        <f t="shared" si="543"/>
        <v>0</v>
      </c>
      <c r="U1183" s="46"/>
      <c r="V1183" s="407">
        <f t="shared" si="548"/>
        <v>0</v>
      </c>
      <c r="W1183" s="45">
        <f t="shared" si="549"/>
        <v>0</v>
      </c>
      <c r="X1183" s="45"/>
      <c r="Y1183" s="45">
        <f t="shared" si="544"/>
        <v>0</v>
      </c>
      <c r="Z1183" s="45" t="e">
        <f t="shared" si="545"/>
        <v>#DIV/0!</v>
      </c>
    </row>
    <row r="1184" spans="3:26" ht="15" hidden="1" outlineLevel="2">
      <c r="C1184" s="1464"/>
      <c r="D1184" s="1464"/>
      <c r="E1184" s="1466"/>
      <c r="F1184" s="1468"/>
      <c r="G1184" s="343"/>
      <c r="H1184" s="335" t="s">
        <v>22</v>
      </c>
      <c r="I1184" s="341"/>
      <c r="J1184" s="341"/>
      <c r="K1184" s="341" t="e">
        <f t="shared" si="546"/>
        <v>#DIV/0!</v>
      </c>
      <c r="L1184" s="341">
        <f t="shared" si="547"/>
        <v>0</v>
      </c>
      <c r="M1184" s="342"/>
      <c r="N1184" s="341"/>
      <c r="O1184" s="338">
        <f t="shared" si="509"/>
        <v>0</v>
      </c>
      <c r="P1184" s="341"/>
      <c r="Q1184" s="431"/>
      <c r="R1184" s="428">
        <f t="shared" si="517"/>
        <v>3.5000000000000003E-2</v>
      </c>
      <c r="S1184" s="45">
        <f t="shared" si="542"/>
        <v>0</v>
      </c>
      <c r="T1184" s="425">
        <f t="shared" si="543"/>
        <v>0</v>
      </c>
      <c r="U1184" s="46"/>
      <c r="V1184" s="407">
        <f t="shared" si="548"/>
        <v>0</v>
      </c>
      <c r="W1184" s="45">
        <f t="shared" si="549"/>
        <v>0</v>
      </c>
      <c r="X1184" s="45"/>
      <c r="Y1184" s="45">
        <f t="shared" si="544"/>
        <v>0</v>
      </c>
      <c r="Z1184" s="45" t="e">
        <f t="shared" si="545"/>
        <v>#DIV/0!</v>
      </c>
    </row>
    <row r="1185" spans="3:26" ht="15" hidden="1" outlineLevel="2">
      <c r="C1185" s="1464"/>
      <c r="D1185" s="1464"/>
      <c r="E1185" s="1466"/>
      <c r="F1185" s="1468"/>
      <c r="G1185" s="344"/>
      <c r="H1185" s="335" t="s">
        <v>22</v>
      </c>
      <c r="I1185" s="345"/>
      <c r="J1185" s="345"/>
      <c r="K1185" s="341" t="e">
        <f t="shared" si="546"/>
        <v>#DIV/0!</v>
      </c>
      <c r="L1185" s="341">
        <f t="shared" si="547"/>
        <v>0</v>
      </c>
      <c r="M1185" s="346"/>
      <c r="N1185" s="345"/>
      <c r="O1185" s="338">
        <f t="shared" si="509"/>
        <v>0</v>
      </c>
      <c r="P1185" s="345"/>
      <c r="Q1185" s="432"/>
      <c r="R1185" s="428">
        <f t="shared" si="517"/>
        <v>3.5000000000000003E-2</v>
      </c>
      <c r="S1185" s="45">
        <f t="shared" si="542"/>
        <v>0</v>
      </c>
      <c r="T1185" s="425">
        <f t="shared" si="543"/>
        <v>0</v>
      </c>
      <c r="U1185" s="46"/>
      <c r="V1185" s="407">
        <f t="shared" si="548"/>
        <v>0</v>
      </c>
      <c r="W1185" s="45">
        <f t="shared" si="549"/>
        <v>0</v>
      </c>
      <c r="X1185" s="45"/>
      <c r="Y1185" s="45">
        <f t="shared" si="544"/>
        <v>0</v>
      </c>
      <c r="Z1185" s="45" t="e">
        <f t="shared" si="545"/>
        <v>#DIV/0!</v>
      </c>
    </row>
    <row r="1186" spans="3:26" ht="15" hidden="1" outlineLevel="2">
      <c r="C1186" s="1464"/>
      <c r="D1186" s="1464"/>
      <c r="E1186" s="1466"/>
      <c r="F1186" s="1468"/>
      <c r="G1186" s="343"/>
      <c r="H1186" s="335" t="s">
        <v>22</v>
      </c>
      <c r="I1186" s="341"/>
      <c r="J1186" s="341"/>
      <c r="K1186" s="341" t="e">
        <f t="shared" si="546"/>
        <v>#DIV/0!</v>
      </c>
      <c r="L1186" s="341">
        <f t="shared" si="547"/>
        <v>0</v>
      </c>
      <c r="M1186" s="342"/>
      <c r="N1186" s="341"/>
      <c r="O1186" s="338">
        <f t="shared" si="509"/>
        <v>0</v>
      </c>
      <c r="P1186" s="341"/>
      <c r="Q1186" s="431"/>
      <c r="R1186" s="428">
        <f t="shared" si="517"/>
        <v>3.5000000000000003E-2</v>
      </c>
      <c r="S1186" s="45">
        <f t="shared" si="542"/>
        <v>0</v>
      </c>
      <c r="T1186" s="425">
        <f t="shared" si="543"/>
        <v>0</v>
      </c>
      <c r="U1186" s="46"/>
      <c r="V1186" s="407">
        <f t="shared" si="548"/>
        <v>0</v>
      </c>
      <c r="W1186" s="45">
        <f t="shared" si="549"/>
        <v>0</v>
      </c>
      <c r="X1186" s="45"/>
      <c r="Y1186" s="45">
        <f t="shared" si="544"/>
        <v>0</v>
      </c>
      <c r="Z1186" s="45" t="e">
        <f t="shared" si="545"/>
        <v>#DIV/0!</v>
      </c>
    </row>
    <row r="1187" spans="3:26" ht="15" hidden="1" outlineLevel="2">
      <c r="C1187" s="1464"/>
      <c r="D1187" s="1464"/>
      <c r="E1187" s="1466"/>
      <c r="F1187" s="1468"/>
      <c r="G1187" s="1470" t="s">
        <v>44</v>
      </c>
      <c r="H1187" s="1471"/>
      <c r="I1187" s="347">
        <f>SUM(I1177:I1186)</f>
        <v>0</v>
      </c>
      <c r="J1187" s="347">
        <f t="shared" ref="J1187" si="550">SUM(J1177:J1186)</f>
        <v>0</v>
      </c>
      <c r="K1187" s="347">
        <f>SUMIFS(K1177:K1186,K1177:K1186,"&lt;&gt;",K1177:K1186,"&lt;"&amp;99^99)</f>
        <v>0</v>
      </c>
      <c r="L1187" s="347">
        <f>SUMIFS(L1177:L1186,L1177:L1186,"&lt;&gt;",L1177:L1186,"&lt;"&amp;99^99)</f>
        <v>0</v>
      </c>
      <c r="M1187" s="348"/>
      <c r="N1187" s="347">
        <f>N1177</f>
        <v>0</v>
      </c>
      <c r="O1187" s="349">
        <f t="shared" si="509"/>
        <v>0</v>
      </c>
      <c r="P1187" s="347">
        <f t="shared" ref="P1187:Q1187" si="551">SUM(P1177:P1186)</f>
        <v>0</v>
      </c>
      <c r="Q1187" s="433">
        <f t="shared" si="551"/>
        <v>0</v>
      </c>
      <c r="R1187" s="55" t="str">
        <f t="shared" si="517"/>
        <v/>
      </c>
      <c r="S1187" s="408">
        <f>SUM(S1177:S1186)</f>
        <v>0</v>
      </c>
      <c r="T1187" s="426">
        <f t="shared" ref="T1187" si="552">SUM(T1177:T1186)</f>
        <v>0</v>
      </c>
      <c r="U1187" s="408"/>
      <c r="V1187" s="408"/>
      <c r="W1187" s="408">
        <f t="shared" ref="W1187" si="553">SUM(W1177:W1186)</f>
        <v>0</v>
      </c>
      <c r="X1187" s="408"/>
      <c r="Y1187" s="408">
        <f t="shared" ref="Y1187" si="554">SUM(Y1177:Y1186)</f>
        <v>0</v>
      </c>
      <c r="Z1187" s="408">
        <f>SUMIFS(Z1177:Z1186,Y1177:Y1186,"&lt;&gt;",Z1177:Z1186,"&lt;"&amp;99^99)</f>
        <v>0</v>
      </c>
    </row>
    <row r="1188" spans="3:26" ht="15.75" outlineLevel="1" collapsed="1" thickTop="1">
      <c r="C1188" s="1464"/>
      <c r="D1188" s="1464"/>
      <c r="E1188" s="1466"/>
      <c r="F1188" s="1469"/>
      <c r="G1188" s="1470" t="s">
        <v>177</v>
      </c>
      <c r="H1188" s="1471"/>
      <c r="I1188" s="347">
        <f>(I1165/usdrate)+(I1176*jodrate)+I1187</f>
        <v>0</v>
      </c>
      <c r="J1188" s="347">
        <f>(J1165/usdrate)+(J1176*jodrate)+J1187</f>
        <v>0</v>
      </c>
      <c r="K1188" s="347">
        <f>(K1165/usdrate)+(K1176*jodrate)+K1187</f>
        <v>0</v>
      </c>
      <c r="L1188" s="347">
        <f>(L1165/usdrate)+(L1176*jodrate)+L1187</f>
        <v>0</v>
      </c>
      <c r="M1188" s="348"/>
      <c r="N1188" s="347">
        <f>(N1165/usdrate)+(N1176*jodrate)+N1187</f>
        <v>0</v>
      </c>
      <c r="O1188" s="349">
        <f t="shared" si="509"/>
        <v>0</v>
      </c>
      <c r="P1188" s="347">
        <f>(P1165/usdrate)+(P1176*jodrate)+P1187</f>
        <v>0</v>
      </c>
      <c r="Q1188" s="433">
        <f>(Q1165/usdrate)+(Q1176*jodrate)+Q1187</f>
        <v>0</v>
      </c>
      <c r="R1188" s="429"/>
      <c r="S1188" s="408">
        <f t="shared" ref="S1188:W1188" si="555">(S1165/usdrate)+(S1176*jodrate)+S1187</f>
        <v>0</v>
      </c>
      <c r="T1188" s="426">
        <f t="shared" si="555"/>
        <v>0</v>
      </c>
      <c r="U1188" s="408">
        <f t="shared" si="555"/>
        <v>0</v>
      </c>
      <c r="V1188" s="408">
        <f t="shared" si="555"/>
        <v>0</v>
      </c>
      <c r="W1188" s="408">
        <f t="shared" si="555"/>
        <v>0</v>
      </c>
      <c r="X1188" s="408"/>
      <c r="Y1188" s="408">
        <f t="shared" ref="Y1188:Z1188" si="556">(Y1165/usdrate)+(Y1176*jodrate)+Y1187</f>
        <v>0</v>
      </c>
      <c r="Z1188" s="408">
        <f t="shared" si="556"/>
        <v>0</v>
      </c>
    </row>
    <row r="1189" spans="3:26" ht="15" hidden="1" outlineLevel="2">
      <c r="C1189" s="1464"/>
      <c r="D1189" s="1464"/>
      <c r="E1189" s="1466"/>
      <c r="F1189" s="1472" t="s">
        <v>170</v>
      </c>
      <c r="G1189" s="350"/>
      <c r="H1189" s="335" t="s">
        <v>4</v>
      </c>
      <c r="I1189" s="336"/>
      <c r="J1189" s="336"/>
      <c r="K1189" s="341">
        <f t="shared" ref="K1189:K1198" si="557">I1189*R1189/12</f>
        <v>0</v>
      </c>
      <c r="L1189" s="341">
        <f t="shared" ref="L1189:L1198" si="558">J1189*S1189/12</f>
        <v>0</v>
      </c>
      <c r="M1189" s="337"/>
      <c r="N1189" s="336"/>
      <c r="O1189" s="338">
        <f t="shared" si="509"/>
        <v>0</v>
      </c>
      <c r="P1189" s="336"/>
      <c r="Q1189" s="430"/>
      <c r="R1189" s="28">
        <f t="shared" ref="R1189:R1221" si="559">IF(H1189="USD",$B$4,IF(H1189="ILS",$B$2,IF(H1189="JOD",$B$3,"")))</f>
        <v>0.05</v>
      </c>
      <c r="S1189" s="14"/>
      <c r="T1189" s="423">
        <f t="shared" ref="T1189:T1198" si="560">I1189*R1189</f>
        <v>0</v>
      </c>
      <c r="U1189" s="14"/>
      <c r="V1189" s="14">
        <v>1</v>
      </c>
      <c r="W1189" s="14">
        <f>T1189*V1189</f>
        <v>0</v>
      </c>
      <c r="X1189" s="35">
        <f t="shared" ref="X1189:X1198" si="561">W1189/usdrate</f>
        <v>0</v>
      </c>
      <c r="Y1189" s="14"/>
      <c r="Z1189" s="14"/>
    </row>
    <row r="1190" spans="3:26" ht="15" hidden="1" outlineLevel="2">
      <c r="C1190" s="1464"/>
      <c r="D1190" s="1464"/>
      <c r="E1190" s="1466"/>
      <c r="F1190" s="1468"/>
      <c r="G1190" s="343"/>
      <c r="H1190" s="335" t="s">
        <v>4</v>
      </c>
      <c r="I1190" s="341"/>
      <c r="J1190" s="341"/>
      <c r="K1190" s="341">
        <f t="shared" si="557"/>
        <v>0</v>
      </c>
      <c r="L1190" s="341">
        <f t="shared" si="558"/>
        <v>0</v>
      </c>
      <c r="M1190" s="342"/>
      <c r="N1190" s="341">
        <v>0</v>
      </c>
      <c r="O1190" s="338">
        <f t="shared" si="509"/>
        <v>0</v>
      </c>
      <c r="P1190" s="341"/>
      <c r="Q1190" s="431"/>
      <c r="R1190" s="28">
        <f t="shared" si="559"/>
        <v>0.05</v>
      </c>
      <c r="S1190" s="14"/>
      <c r="T1190" s="423">
        <f t="shared" si="560"/>
        <v>0</v>
      </c>
      <c r="U1190" s="14"/>
      <c r="V1190" s="14">
        <v>1</v>
      </c>
      <c r="W1190" s="14">
        <f t="shared" ref="W1190:W1198" si="562">T1190*V1190</f>
        <v>0</v>
      </c>
      <c r="X1190" s="35">
        <f t="shared" si="561"/>
        <v>0</v>
      </c>
      <c r="Y1190" s="14"/>
      <c r="Z1190" s="14"/>
    </row>
    <row r="1191" spans="3:26" ht="15" hidden="1" outlineLevel="2">
      <c r="C1191" s="1464"/>
      <c r="D1191" s="1464"/>
      <c r="E1191" s="1466"/>
      <c r="F1191" s="1468"/>
      <c r="G1191" s="343"/>
      <c r="H1191" s="335" t="s">
        <v>4</v>
      </c>
      <c r="I1191" s="341"/>
      <c r="J1191" s="341"/>
      <c r="K1191" s="341">
        <f t="shared" si="557"/>
        <v>0</v>
      </c>
      <c r="L1191" s="341">
        <f t="shared" si="558"/>
        <v>0</v>
      </c>
      <c r="M1191" s="337"/>
      <c r="N1191" s="341"/>
      <c r="O1191" s="338">
        <f t="shared" si="509"/>
        <v>0</v>
      </c>
      <c r="P1191" s="341"/>
      <c r="Q1191" s="431"/>
      <c r="R1191" s="28">
        <f t="shared" si="559"/>
        <v>0.05</v>
      </c>
      <c r="S1191" s="14"/>
      <c r="T1191" s="423">
        <f t="shared" si="560"/>
        <v>0</v>
      </c>
      <c r="U1191" s="14"/>
      <c r="V1191" s="14">
        <v>1</v>
      </c>
      <c r="W1191" s="14">
        <f t="shared" si="562"/>
        <v>0</v>
      </c>
      <c r="X1191" s="35">
        <f t="shared" si="561"/>
        <v>0</v>
      </c>
      <c r="Y1191" s="14"/>
      <c r="Z1191" s="14"/>
    </row>
    <row r="1192" spans="3:26" ht="15" hidden="1" outlineLevel="2">
      <c r="C1192" s="1464"/>
      <c r="D1192" s="1464"/>
      <c r="E1192" s="1466"/>
      <c r="F1192" s="1468"/>
      <c r="G1192" s="343"/>
      <c r="H1192" s="335" t="s">
        <v>4</v>
      </c>
      <c r="I1192" s="341"/>
      <c r="J1192" s="341"/>
      <c r="K1192" s="341">
        <f t="shared" si="557"/>
        <v>0</v>
      </c>
      <c r="L1192" s="341">
        <f t="shared" si="558"/>
        <v>0</v>
      </c>
      <c r="M1192" s="342"/>
      <c r="N1192" s="341"/>
      <c r="O1192" s="338">
        <f t="shared" si="509"/>
        <v>0</v>
      </c>
      <c r="P1192" s="341"/>
      <c r="Q1192" s="431"/>
      <c r="R1192" s="28">
        <f t="shared" si="559"/>
        <v>0.05</v>
      </c>
      <c r="S1192" s="14"/>
      <c r="T1192" s="423">
        <f t="shared" si="560"/>
        <v>0</v>
      </c>
      <c r="U1192" s="14"/>
      <c r="V1192" s="14">
        <v>1</v>
      </c>
      <c r="W1192" s="14">
        <f t="shared" si="562"/>
        <v>0</v>
      </c>
      <c r="X1192" s="35">
        <f t="shared" si="561"/>
        <v>0</v>
      </c>
      <c r="Y1192" s="14"/>
      <c r="Z1192" s="14"/>
    </row>
    <row r="1193" spans="3:26" ht="15" hidden="1" outlineLevel="2">
      <c r="C1193" s="1464"/>
      <c r="D1193" s="1464"/>
      <c r="E1193" s="1466"/>
      <c r="F1193" s="1468"/>
      <c r="G1193" s="343"/>
      <c r="H1193" s="335" t="s">
        <v>4</v>
      </c>
      <c r="I1193" s="341"/>
      <c r="J1193" s="341"/>
      <c r="K1193" s="341">
        <f t="shared" si="557"/>
        <v>0</v>
      </c>
      <c r="L1193" s="341">
        <f t="shared" si="558"/>
        <v>0</v>
      </c>
      <c r="M1193" s="342"/>
      <c r="N1193" s="341"/>
      <c r="O1193" s="338">
        <f t="shared" si="509"/>
        <v>0</v>
      </c>
      <c r="P1193" s="341"/>
      <c r="Q1193" s="431"/>
      <c r="R1193" s="28">
        <f t="shared" si="559"/>
        <v>0.05</v>
      </c>
      <c r="S1193" s="14"/>
      <c r="T1193" s="423">
        <f t="shared" si="560"/>
        <v>0</v>
      </c>
      <c r="U1193" s="14"/>
      <c r="V1193" s="14">
        <v>1</v>
      </c>
      <c r="W1193" s="14">
        <f t="shared" si="562"/>
        <v>0</v>
      </c>
      <c r="X1193" s="35">
        <f t="shared" si="561"/>
        <v>0</v>
      </c>
      <c r="Y1193" s="14"/>
      <c r="Z1193" s="14"/>
    </row>
    <row r="1194" spans="3:26" ht="15" hidden="1" outlineLevel="2">
      <c r="C1194" s="1464"/>
      <c r="D1194" s="1464"/>
      <c r="E1194" s="1466"/>
      <c r="F1194" s="1468"/>
      <c r="G1194" s="343"/>
      <c r="H1194" s="335" t="s">
        <v>4</v>
      </c>
      <c r="I1194" s="341"/>
      <c r="J1194" s="341"/>
      <c r="K1194" s="341">
        <f t="shared" si="557"/>
        <v>0</v>
      </c>
      <c r="L1194" s="341">
        <f t="shared" si="558"/>
        <v>0</v>
      </c>
      <c r="M1194" s="342"/>
      <c r="N1194" s="341"/>
      <c r="O1194" s="338">
        <f t="shared" si="509"/>
        <v>0</v>
      </c>
      <c r="P1194" s="341"/>
      <c r="Q1194" s="431"/>
      <c r="R1194" s="28">
        <f t="shared" si="559"/>
        <v>0.05</v>
      </c>
      <c r="S1194" s="14"/>
      <c r="T1194" s="423">
        <f t="shared" si="560"/>
        <v>0</v>
      </c>
      <c r="U1194" s="14"/>
      <c r="V1194" s="14">
        <v>1</v>
      </c>
      <c r="W1194" s="14">
        <f t="shared" si="562"/>
        <v>0</v>
      </c>
      <c r="X1194" s="35">
        <f t="shared" si="561"/>
        <v>0</v>
      </c>
      <c r="Y1194" s="14"/>
      <c r="Z1194" s="14"/>
    </row>
    <row r="1195" spans="3:26" ht="15" hidden="1" outlineLevel="2">
      <c r="C1195" s="1464"/>
      <c r="D1195" s="1464"/>
      <c r="E1195" s="1466"/>
      <c r="F1195" s="1468"/>
      <c r="G1195" s="343"/>
      <c r="H1195" s="335" t="s">
        <v>4</v>
      </c>
      <c r="I1195" s="341"/>
      <c r="J1195" s="341"/>
      <c r="K1195" s="341">
        <f t="shared" si="557"/>
        <v>0</v>
      </c>
      <c r="L1195" s="341">
        <f t="shared" si="558"/>
        <v>0</v>
      </c>
      <c r="M1195" s="342"/>
      <c r="N1195" s="341"/>
      <c r="O1195" s="338">
        <f t="shared" si="509"/>
        <v>0</v>
      </c>
      <c r="P1195" s="341"/>
      <c r="Q1195" s="431"/>
      <c r="R1195" s="28">
        <f t="shared" si="559"/>
        <v>0.05</v>
      </c>
      <c r="S1195" s="14"/>
      <c r="T1195" s="423">
        <f t="shared" si="560"/>
        <v>0</v>
      </c>
      <c r="U1195" s="14"/>
      <c r="V1195" s="14">
        <v>1</v>
      </c>
      <c r="W1195" s="14">
        <f t="shared" si="562"/>
        <v>0</v>
      </c>
      <c r="X1195" s="35">
        <f t="shared" si="561"/>
        <v>0</v>
      </c>
      <c r="Y1195" s="14"/>
      <c r="Z1195" s="14"/>
    </row>
    <row r="1196" spans="3:26" ht="15" hidden="1" outlineLevel="2">
      <c r="C1196" s="1464"/>
      <c r="D1196" s="1464"/>
      <c r="E1196" s="1466"/>
      <c r="F1196" s="1468"/>
      <c r="G1196" s="343"/>
      <c r="H1196" s="335" t="s">
        <v>4</v>
      </c>
      <c r="I1196" s="341"/>
      <c r="J1196" s="341"/>
      <c r="K1196" s="341">
        <f t="shared" si="557"/>
        <v>0</v>
      </c>
      <c r="L1196" s="341">
        <f t="shared" si="558"/>
        <v>0</v>
      </c>
      <c r="M1196" s="342"/>
      <c r="N1196" s="341"/>
      <c r="O1196" s="338">
        <f t="shared" si="509"/>
        <v>0</v>
      </c>
      <c r="P1196" s="341"/>
      <c r="Q1196" s="431"/>
      <c r="R1196" s="28">
        <f t="shared" si="559"/>
        <v>0.05</v>
      </c>
      <c r="S1196" s="14"/>
      <c r="T1196" s="423">
        <f t="shared" si="560"/>
        <v>0</v>
      </c>
      <c r="U1196" s="14"/>
      <c r="V1196" s="14">
        <v>1</v>
      </c>
      <c r="W1196" s="14">
        <f t="shared" si="562"/>
        <v>0</v>
      </c>
      <c r="X1196" s="35">
        <f t="shared" si="561"/>
        <v>0</v>
      </c>
      <c r="Y1196" s="14"/>
      <c r="Z1196" s="14"/>
    </row>
    <row r="1197" spans="3:26" ht="15" hidden="1" outlineLevel="2">
      <c r="C1197" s="1464"/>
      <c r="D1197" s="1464"/>
      <c r="E1197" s="1466"/>
      <c r="F1197" s="1468"/>
      <c r="G1197" s="344"/>
      <c r="H1197" s="335" t="s">
        <v>4</v>
      </c>
      <c r="I1197" s="345"/>
      <c r="J1197" s="345"/>
      <c r="K1197" s="341">
        <f t="shared" si="557"/>
        <v>0</v>
      </c>
      <c r="L1197" s="341">
        <f t="shared" si="558"/>
        <v>0</v>
      </c>
      <c r="M1197" s="346"/>
      <c r="N1197" s="345"/>
      <c r="O1197" s="338">
        <f t="shared" si="509"/>
        <v>0</v>
      </c>
      <c r="P1197" s="345"/>
      <c r="Q1197" s="432"/>
      <c r="R1197" s="28">
        <f t="shared" si="559"/>
        <v>0.05</v>
      </c>
      <c r="S1197" s="14"/>
      <c r="T1197" s="423">
        <f t="shared" si="560"/>
        <v>0</v>
      </c>
      <c r="U1197" s="14"/>
      <c r="V1197" s="14">
        <v>1</v>
      </c>
      <c r="W1197" s="14">
        <f t="shared" si="562"/>
        <v>0</v>
      </c>
      <c r="X1197" s="35">
        <f t="shared" si="561"/>
        <v>0</v>
      </c>
      <c r="Y1197" s="14"/>
      <c r="Z1197" s="14"/>
    </row>
    <row r="1198" spans="3:26" ht="15" hidden="1" outlineLevel="2">
      <c r="C1198" s="1464"/>
      <c r="D1198" s="1464"/>
      <c r="E1198" s="1466"/>
      <c r="F1198" s="1468"/>
      <c r="G1198" s="343"/>
      <c r="H1198" s="335" t="s">
        <v>4</v>
      </c>
      <c r="I1198" s="341"/>
      <c r="J1198" s="341"/>
      <c r="K1198" s="341">
        <f t="shared" si="557"/>
        <v>0</v>
      </c>
      <c r="L1198" s="341">
        <f t="shared" si="558"/>
        <v>0</v>
      </c>
      <c r="M1198" s="342"/>
      <c r="N1198" s="341"/>
      <c r="O1198" s="338">
        <f t="shared" si="509"/>
        <v>0</v>
      </c>
      <c r="P1198" s="341"/>
      <c r="Q1198" s="431"/>
      <c r="R1198" s="28">
        <f t="shared" si="559"/>
        <v>0.05</v>
      </c>
      <c r="S1198" s="14"/>
      <c r="T1198" s="423">
        <f t="shared" si="560"/>
        <v>0</v>
      </c>
      <c r="U1198" s="14"/>
      <c r="V1198" s="14">
        <v>1</v>
      </c>
      <c r="W1198" s="14">
        <f t="shared" si="562"/>
        <v>0</v>
      </c>
      <c r="X1198" s="35">
        <f t="shared" si="561"/>
        <v>0</v>
      </c>
      <c r="Y1198" s="14"/>
      <c r="Z1198" s="14"/>
    </row>
    <row r="1199" spans="3:26" ht="15" hidden="1" outlineLevel="2">
      <c r="C1199" s="1464"/>
      <c r="D1199" s="1464"/>
      <c r="E1199" s="1466"/>
      <c r="F1199" s="1468"/>
      <c r="G1199" s="1470" t="s">
        <v>45</v>
      </c>
      <c r="H1199" s="1471"/>
      <c r="I1199" s="347">
        <f>SUM(I1189:I1198)</f>
        <v>0</v>
      </c>
      <c r="J1199" s="347">
        <f t="shared" ref="J1199:K1199" si="563">SUM(J1189:J1198)</f>
        <v>0</v>
      </c>
      <c r="K1199" s="347">
        <f t="shared" si="563"/>
        <v>0</v>
      </c>
      <c r="L1199" s="347">
        <f t="shared" ref="L1199" si="564">SUM(L1189:L1198)</f>
        <v>0</v>
      </c>
      <c r="M1199" s="348"/>
      <c r="N1199" s="347">
        <f>N1189</f>
        <v>0</v>
      </c>
      <c r="O1199" s="349">
        <f t="shared" si="509"/>
        <v>0</v>
      </c>
      <c r="P1199" s="347">
        <f t="shared" ref="P1199:Q1199" si="565">SUM(P1189:P1198)</f>
        <v>0</v>
      </c>
      <c r="Q1199" s="433">
        <f t="shared" si="565"/>
        <v>0</v>
      </c>
      <c r="R1199" s="36" t="str">
        <f t="shared" si="559"/>
        <v/>
      </c>
      <c r="S1199" s="36">
        <f>SUM(S1189:S1198)</f>
        <v>0</v>
      </c>
      <c r="T1199" s="420">
        <f t="shared" ref="T1199" si="566">SUM(T1189:T1198)</f>
        <v>0</v>
      </c>
      <c r="U1199" s="36"/>
      <c r="V1199" s="36"/>
      <c r="W1199" s="36">
        <f t="shared" ref="W1199" si="567">SUM(W1189:W1198)</f>
        <v>0</v>
      </c>
      <c r="X1199" s="36"/>
      <c r="Y1199" s="14"/>
      <c r="Z1199" s="14"/>
    </row>
    <row r="1200" spans="3:26" ht="15" hidden="1" outlineLevel="2">
      <c r="C1200" s="1464"/>
      <c r="D1200" s="1464"/>
      <c r="E1200" s="1466"/>
      <c r="F1200" s="1468"/>
      <c r="G1200" s="350"/>
      <c r="H1200" s="340" t="s">
        <v>28</v>
      </c>
      <c r="I1200" s="336"/>
      <c r="J1200" s="336"/>
      <c r="K1200" s="341">
        <f t="shared" ref="K1200:K1209" si="568">I1200*R1200/12</f>
        <v>0</v>
      </c>
      <c r="L1200" s="341">
        <f t="shared" ref="L1200:L1209" si="569">J1200*S1200/12</f>
        <v>0</v>
      </c>
      <c r="M1200" s="337"/>
      <c r="N1200" s="336"/>
      <c r="O1200" s="338">
        <f t="shared" si="509"/>
        <v>0</v>
      </c>
      <c r="P1200" s="336"/>
      <c r="Q1200" s="430"/>
      <c r="R1200" s="28">
        <f t="shared" si="559"/>
        <v>3.5000000000000003E-2</v>
      </c>
      <c r="S1200" s="14"/>
      <c r="T1200" s="423">
        <f t="shared" ref="T1200:T1209" si="570">I1200*R1200</f>
        <v>0</v>
      </c>
      <c r="U1200" s="14"/>
      <c r="V1200" s="14">
        <v>1</v>
      </c>
      <c r="W1200" s="14">
        <f t="shared" ref="W1200:W1209" si="571">T1200*V1200</f>
        <v>0</v>
      </c>
      <c r="X1200" s="35">
        <f t="shared" ref="X1200:X1209" si="572">W1200/usdrate</f>
        <v>0</v>
      </c>
      <c r="Y1200" s="14"/>
      <c r="Z1200" s="14"/>
    </row>
    <row r="1201" spans="3:26" ht="15" hidden="1" outlineLevel="2">
      <c r="C1201" s="1464"/>
      <c r="D1201" s="1464"/>
      <c r="E1201" s="1466"/>
      <c r="F1201" s="1468"/>
      <c r="G1201" s="343"/>
      <c r="H1201" s="340" t="s">
        <v>28</v>
      </c>
      <c r="I1201" s="341"/>
      <c r="J1201" s="341"/>
      <c r="K1201" s="341">
        <f t="shared" si="568"/>
        <v>0</v>
      </c>
      <c r="L1201" s="341">
        <f t="shared" si="569"/>
        <v>0</v>
      </c>
      <c r="M1201" s="342"/>
      <c r="N1201" s="341"/>
      <c r="O1201" s="338">
        <f t="shared" si="509"/>
        <v>0</v>
      </c>
      <c r="P1201" s="341"/>
      <c r="Q1201" s="431"/>
      <c r="R1201" s="28">
        <f t="shared" si="559"/>
        <v>3.5000000000000003E-2</v>
      </c>
      <c r="S1201" s="14"/>
      <c r="T1201" s="423">
        <f t="shared" si="570"/>
        <v>0</v>
      </c>
      <c r="U1201" s="14"/>
      <c r="V1201" s="14">
        <v>1</v>
      </c>
      <c r="W1201" s="14">
        <f t="shared" si="571"/>
        <v>0</v>
      </c>
      <c r="X1201" s="35">
        <f t="shared" si="572"/>
        <v>0</v>
      </c>
      <c r="Y1201" s="14"/>
      <c r="Z1201" s="14"/>
    </row>
    <row r="1202" spans="3:26" ht="15" hidden="1" outlineLevel="2">
      <c r="C1202" s="1464"/>
      <c r="D1202" s="1464"/>
      <c r="E1202" s="1466"/>
      <c r="F1202" s="1468"/>
      <c r="G1202" s="343"/>
      <c r="H1202" s="340" t="s">
        <v>28</v>
      </c>
      <c r="I1202" s="341"/>
      <c r="J1202" s="341"/>
      <c r="K1202" s="341">
        <f t="shared" si="568"/>
        <v>0</v>
      </c>
      <c r="L1202" s="341">
        <f t="shared" si="569"/>
        <v>0</v>
      </c>
      <c r="M1202" s="337"/>
      <c r="N1202" s="341"/>
      <c r="O1202" s="338">
        <f t="shared" si="509"/>
        <v>0</v>
      </c>
      <c r="P1202" s="341"/>
      <c r="Q1202" s="431"/>
      <c r="R1202" s="28">
        <f t="shared" si="559"/>
        <v>3.5000000000000003E-2</v>
      </c>
      <c r="S1202" s="14"/>
      <c r="T1202" s="423">
        <f t="shared" si="570"/>
        <v>0</v>
      </c>
      <c r="U1202" s="14"/>
      <c r="V1202" s="14">
        <v>1</v>
      </c>
      <c r="W1202" s="14">
        <f t="shared" si="571"/>
        <v>0</v>
      </c>
      <c r="X1202" s="35">
        <f t="shared" si="572"/>
        <v>0</v>
      </c>
      <c r="Y1202" s="14"/>
      <c r="Z1202" s="14"/>
    </row>
    <row r="1203" spans="3:26" ht="15" hidden="1" outlineLevel="2">
      <c r="C1203" s="1464"/>
      <c r="D1203" s="1464"/>
      <c r="E1203" s="1466"/>
      <c r="F1203" s="1468"/>
      <c r="G1203" s="343"/>
      <c r="H1203" s="340" t="s">
        <v>28</v>
      </c>
      <c r="I1203" s="341"/>
      <c r="J1203" s="341"/>
      <c r="K1203" s="341">
        <f t="shared" si="568"/>
        <v>0</v>
      </c>
      <c r="L1203" s="341">
        <f t="shared" si="569"/>
        <v>0</v>
      </c>
      <c r="M1203" s="342"/>
      <c r="N1203" s="341"/>
      <c r="O1203" s="338">
        <f t="shared" si="509"/>
        <v>0</v>
      </c>
      <c r="P1203" s="341"/>
      <c r="Q1203" s="431"/>
      <c r="R1203" s="28">
        <f t="shared" si="559"/>
        <v>3.5000000000000003E-2</v>
      </c>
      <c r="S1203" s="14"/>
      <c r="T1203" s="423">
        <f t="shared" si="570"/>
        <v>0</v>
      </c>
      <c r="U1203" s="14"/>
      <c r="V1203" s="14">
        <v>1</v>
      </c>
      <c r="W1203" s="14">
        <f t="shared" si="571"/>
        <v>0</v>
      </c>
      <c r="X1203" s="35">
        <f t="shared" si="572"/>
        <v>0</v>
      </c>
      <c r="Y1203" s="14"/>
      <c r="Z1203" s="14"/>
    </row>
    <row r="1204" spans="3:26" ht="15" hidden="1" outlineLevel="2">
      <c r="C1204" s="1464"/>
      <c r="D1204" s="1464"/>
      <c r="E1204" s="1466"/>
      <c r="F1204" s="1468"/>
      <c r="G1204" s="343"/>
      <c r="H1204" s="340" t="s">
        <v>28</v>
      </c>
      <c r="I1204" s="341"/>
      <c r="J1204" s="341"/>
      <c r="K1204" s="341">
        <f t="shared" si="568"/>
        <v>0</v>
      </c>
      <c r="L1204" s="341">
        <f t="shared" si="569"/>
        <v>0</v>
      </c>
      <c r="M1204" s="342"/>
      <c r="N1204" s="341"/>
      <c r="O1204" s="338">
        <f t="shared" si="509"/>
        <v>0</v>
      </c>
      <c r="P1204" s="341"/>
      <c r="Q1204" s="431"/>
      <c r="R1204" s="28">
        <f t="shared" si="559"/>
        <v>3.5000000000000003E-2</v>
      </c>
      <c r="S1204" s="14"/>
      <c r="T1204" s="423">
        <f t="shared" si="570"/>
        <v>0</v>
      </c>
      <c r="U1204" s="14"/>
      <c r="V1204" s="14">
        <v>1</v>
      </c>
      <c r="W1204" s="14">
        <f t="shared" si="571"/>
        <v>0</v>
      </c>
      <c r="X1204" s="35">
        <f t="shared" si="572"/>
        <v>0</v>
      </c>
      <c r="Y1204" s="14"/>
      <c r="Z1204" s="14"/>
    </row>
    <row r="1205" spans="3:26" ht="15" hidden="1" outlineLevel="2">
      <c r="C1205" s="1464"/>
      <c r="D1205" s="1464"/>
      <c r="E1205" s="1466"/>
      <c r="F1205" s="1468"/>
      <c r="G1205" s="343"/>
      <c r="H1205" s="340" t="s">
        <v>28</v>
      </c>
      <c r="I1205" s="341"/>
      <c r="J1205" s="341"/>
      <c r="K1205" s="341">
        <f t="shared" si="568"/>
        <v>0</v>
      </c>
      <c r="L1205" s="341">
        <f t="shared" si="569"/>
        <v>0</v>
      </c>
      <c r="M1205" s="342"/>
      <c r="N1205" s="341"/>
      <c r="O1205" s="338">
        <f t="shared" si="509"/>
        <v>0</v>
      </c>
      <c r="P1205" s="341"/>
      <c r="Q1205" s="431"/>
      <c r="R1205" s="28">
        <f t="shared" si="559"/>
        <v>3.5000000000000003E-2</v>
      </c>
      <c r="S1205" s="14"/>
      <c r="T1205" s="423">
        <f t="shared" si="570"/>
        <v>0</v>
      </c>
      <c r="U1205" s="14"/>
      <c r="V1205" s="14">
        <v>1</v>
      </c>
      <c r="W1205" s="14">
        <f t="shared" si="571"/>
        <v>0</v>
      </c>
      <c r="X1205" s="35">
        <f t="shared" si="572"/>
        <v>0</v>
      </c>
      <c r="Y1205" s="14"/>
      <c r="Z1205" s="14"/>
    </row>
    <row r="1206" spans="3:26" ht="15" hidden="1" outlineLevel="2">
      <c r="C1206" s="1464"/>
      <c r="D1206" s="1464"/>
      <c r="E1206" s="1466"/>
      <c r="F1206" s="1468"/>
      <c r="G1206" s="343"/>
      <c r="H1206" s="340" t="s">
        <v>28</v>
      </c>
      <c r="I1206" s="341"/>
      <c r="J1206" s="341"/>
      <c r="K1206" s="341">
        <f t="shared" si="568"/>
        <v>0</v>
      </c>
      <c r="L1206" s="341">
        <f t="shared" si="569"/>
        <v>0</v>
      </c>
      <c r="M1206" s="342"/>
      <c r="N1206" s="341"/>
      <c r="O1206" s="338">
        <f t="shared" si="509"/>
        <v>0</v>
      </c>
      <c r="P1206" s="341"/>
      <c r="Q1206" s="431"/>
      <c r="R1206" s="28">
        <f t="shared" si="559"/>
        <v>3.5000000000000003E-2</v>
      </c>
      <c r="S1206" s="14"/>
      <c r="T1206" s="423">
        <f t="shared" si="570"/>
        <v>0</v>
      </c>
      <c r="U1206" s="14"/>
      <c r="V1206" s="14">
        <v>1</v>
      </c>
      <c r="W1206" s="14">
        <f t="shared" si="571"/>
        <v>0</v>
      </c>
      <c r="X1206" s="35">
        <f t="shared" si="572"/>
        <v>0</v>
      </c>
      <c r="Y1206" s="29"/>
      <c r="Z1206" s="29"/>
    </row>
    <row r="1207" spans="3:26" ht="15" hidden="1" outlineLevel="2">
      <c r="C1207" s="1464"/>
      <c r="D1207" s="1464"/>
      <c r="E1207" s="1466"/>
      <c r="F1207" s="1468"/>
      <c r="G1207" s="343"/>
      <c r="H1207" s="340" t="s">
        <v>28</v>
      </c>
      <c r="I1207" s="341"/>
      <c r="J1207" s="341"/>
      <c r="K1207" s="341">
        <f t="shared" si="568"/>
        <v>0</v>
      </c>
      <c r="L1207" s="341">
        <f t="shared" si="569"/>
        <v>0</v>
      </c>
      <c r="M1207" s="342"/>
      <c r="N1207" s="341"/>
      <c r="O1207" s="338">
        <f t="shared" si="509"/>
        <v>0</v>
      </c>
      <c r="P1207" s="341"/>
      <c r="Q1207" s="431"/>
      <c r="R1207" s="28">
        <f t="shared" si="559"/>
        <v>3.5000000000000003E-2</v>
      </c>
      <c r="S1207" s="14"/>
      <c r="T1207" s="423">
        <f t="shared" si="570"/>
        <v>0</v>
      </c>
      <c r="U1207" s="14"/>
      <c r="V1207" s="14">
        <v>1</v>
      </c>
      <c r="W1207" s="14">
        <f t="shared" si="571"/>
        <v>0</v>
      </c>
      <c r="X1207" s="35">
        <f t="shared" si="572"/>
        <v>0</v>
      </c>
      <c r="Y1207" s="14"/>
      <c r="Z1207" s="14"/>
    </row>
    <row r="1208" spans="3:26" ht="15" hidden="1" outlineLevel="2">
      <c r="C1208" s="1464"/>
      <c r="D1208" s="1464"/>
      <c r="E1208" s="1466"/>
      <c r="F1208" s="1468"/>
      <c r="G1208" s="344"/>
      <c r="H1208" s="340" t="s">
        <v>28</v>
      </c>
      <c r="I1208" s="345"/>
      <c r="J1208" s="345"/>
      <c r="K1208" s="341">
        <f t="shared" si="568"/>
        <v>0</v>
      </c>
      <c r="L1208" s="341">
        <f t="shared" si="569"/>
        <v>0</v>
      </c>
      <c r="M1208" s="346"/>
      <c r="N1208" s="345"/>
      <c r="O1208" s="338">
        <f t="shared" si="509"/>
        <v>0</v>
      </c>
      <c r="P1208" s="345"/>
      <c r="Q1208" s="432"/>
      <c r="R1208" s="28">
        <f t="shared" si="559"/>
        <v>3.5000000000000003E-2</v>
      </c>
      <c r="S1208" s="14"/>
      <c r="T1208" s="423">
        <f t="shared" si="570"/>
        <v>0</v>
      </c>
      <c r="U1208" s="14"/>
      <c r="V1208" s="14">
        <v>1</v>
      </c>
      <c r="W1208" s="14">
        <f t="shared" si="571"/>
        <v>0</v>
      </c>
      <c r="X1208" s="35">
        <f t="shared" si="572"/>
        <v>0</v>
      </c>
      <c r="Y1208" s="14"/>
      <c r="Z1208" s="14"/>
    </row>
    <row r="1209" spans="3:26" ht="15" hidden="1" outlineLevel="2">
      <c r="C1209" s="1464"/>
      <c r="D1209" s="1464"/>
      <c r="E1209" s="1466"/>
      <c r="F1209" s="1468"/>
      <c r="G1209" s="343"/>
      <c r="H1209" s="340" t="s">
        <v>28</v>
      </c>
      <c r="I1209" s="341"/>
      <c r="J1209" s="341"/>
      <c r="K1209" s="341">
        <f t="shared" si="568"/>
        <v>0</v>
      </c>
      <c r="L1209" s="341">
        <f t="shared" si="569"/>
        <v>0</v>
      </c>
      <c r="M1209" s="342"/>
      <c r="N1209" s="341"/>
      <c r="O1209" s="338">
        <f t="shared" si="509"/>
        <v>0</v>
      </c>
      <c r="P1209" s="341"/>
      <c r="Q1209" s="431"/>
      <c r="R1209" s="28">
        <f t="shared" si="559"/>
        <v>3.5000000000000003E-2</v>
      </c>
      <c r="S1209" s="14"/>
      <c r="T1209" s="423">
        <f t="shared" si="570"/>
        <v>0</v>
      </c>
      <c r="U1209" s="14"/>
      <c r="V1209" s="14">
        <v>1</v>
      </c>
      <c r="W1209" s="14">
        <f t="shared" si="571"/>
        <v>0</v>
      </c>
      <c r="X1209" s="35">
        <f t="shared" si="572"/>
        <v>0</v>
      </c>
      <c r="Y1209" s="14"/>
      <c r="Z1209" s="14"/>
    </row>
    <row r="1210" spans="3:26" ht="15" hidden="1" outlineLevel="2">
      <c r="C1210" s="1464"/>
      <c r="D1210" s="1464"/>
      <c r="E1210" s="1466"/>
      <c r="F1210" s="1468"/>
      <c r="G1210" s="1470" t="s">
        <v>51</v>
      </c>
      <c r="H1210" s="1471"/>
      <c r="I1210" s="347">
        <f>SUM(I1200:I1209)</f>
        <v>0</v>
      </c>
      <c r="J1210" s="347">
        <f t="shared" ref="J1210:K1210" si="573">SUM(J1200:J1209)</f>
        <v>0</v>
      </c>
      <c r="K1210" s="347">
        <f t="shared" si="573"/>
        <v>0</v>
      </c>
      <c r="L1210" s="347">
        <f t="shared" ref="L1210" si="574">SUM(L1200:L1209)</f>
        <v>0</v>
      </c>
      <c r="M1210" s="348"/>
      <c r="N1210" s="347">
        <f>N1200</f>
        <v>0</v>
      </c>
      <c r="O1210" s="349">
        <f t="shared" si="509"/>
        <v>0</v>
      </c>
      <c r="P1210" s="347">
        <f t="shared" ref="P1210:Q1210" si="575">SUM(P1200:P1209)</f>
        <v>0</v>
      </c>
      <c r="Q1210" s="433">
        <f t="shared" si="575"/>
        <v>0</v>
      </c>
      <c r="R1210" s="36" t="str">
        <f t="shared" si="559"/>
        <v/>
      </c>
      <c r="S1210" s="36">
        <f>SUM(S1200:S1209)</f>
        <v>0</v>
      </c>
      <c r="T1210" s="420">
        <f t="shared" ref="T1210" si="576">SUM(T1200:T1209)</f>
        <v>0</v>
      </c>
      <c r="U1210" s="36"/>
      <c r="V1210" s="36"/>
      <c r="W1210" s="36">
        <f t="shared" ref="W1210" si="577">SUM(W1200:W1209)</f>
        <v>0</v>
      </c>
      <c r="X1210" s="36"/>
      <c r="Y1210" s="14"/>
      <c r="Z1210" s="14"/>
    </row>
    <row r="1211" spans="3:26" ht="15" hidden="1" outlineLevel="2">
      <c r="C1211" s="1464"/>
      <c r="D1211" s="1464"/>
      <c r="E1211" s="1466"/>
      <c r="F1211" s="1468"/>
      <c r="G1211" s="350"/>
      <c r="H1211" s="335" t="s">
        <v>22</v>
      </c>
      <c r="I1211" s="336"/>
      <c r="J1211" s="336"/>
      <c r="K1211" s="341">
        <f t="shared" ref="K1211:K1220" si="578">I1211*R1211/12</f>
        <v>0</v>
      </c>
      <c r="L1211" s="341">
        <f t="shared" ref="L1211:L1220" si="579">J1211*S1211/12</f>
        <v>0</v>
      </c>
      <c r="M1211" s="337"/>
      <c r="N1211" s="336"/>
      <c r="O1211" s="338">
        <f t="shared" si="509"/>
        <v>0</v>
      </c>
      <c r="P1211" s="336"/>
      <c r="Q1211" s="430"/>
      <c r="R1211" s="28">
        <f t="shared" si="559"/>
        <v>3.5000000000000003E-2</v>
      </c>
      <c r="S1211" s="14"/>
      <c r="T1211" s="423">
        <f t="shared" ref="T1211:T1220" si="580">I1211*R1211</f>
        <v>0</v>
      </c>
      <c r="U1211" s="14"/>
      <c r="V1211" s="14">
        <v>1</v>
      </c>
      <c r="W1211" s="14">
        <f t="shared" ref="W1211:W1220" si="581">T1211*V1211</f>
        <v>0</v>
      </c>
      <c r="X1211" s="35">
        <f t="shared" ref="X1211:X1220" si="582">W1211/usdrate</f>
        <v>0</v>
      </c>
      <c r="Y1211" s="14"/>
      <c r="Z1211" s="14"/>
    </row>
    <row r="1212" spans="3:26" ht="15" hidden="1" outlineLevel="2">
      <c r="C1212" s="1464"/>
      <c r="D1212" s="1464"/>
      <c r="E1212" s="1466"/>
      <c r="F1212" s="1468"/>
      <c r="G1212" s="343"/>
      <c r="H1212" s="335" t="s">
        <v>22</v>
      </c>
      <c r="I1212" s="341"/>
      <c r="J1212" s="341"/>
      <c r="K1212" s="341">
        <f t="shared" si="578"/>
        <v>0</v>
      </c>
      <c r="L1212" s="341">
        <f t="shared" si="579"/>
        <v>0</v>
      </c>
      <c r="M1212" s="342"/>
      <c r="N1212" s="341"/>
      <c r="O1212" s="338">
        <f t="shared" si="509"/>
        <v>0</v>
      </c>
      <c r="P1212" s="341"/>
      <c r="Q1212" s="431"/>
      <c r="R1212" s="28">
        <f t="shared" si="559"/>
        <v>3.5000000000000003E-2</v>
      </c>
      <c r="S1212" s="14"/>
      <c r="T1212" s="423">
        <f t="shared" si="580"/>
        <v>0</v>
      </c>
      <c r="U1212" s="14"/>
      <c r="V1212" s="14">
        <v>1</v>
      </c>
      <c r="W1212" s="14">
        <f t="shared" si="581"/>
        <v>0</v>
      </c>
      <c r="X1212" s="35">
        <f t="shared" si="582"/>
        <v>0</v>
      </c>
      <c r="Y1212" s="14"/>
      <c r="Z1212" s="14"/>
    </row>
    <row r="1213" spans="3:26" ht="15" hidden="1" outlineLevel="2">
      <c r="C1213" s="1464"/>
      <c r="D1213" s="1464"/>
      <c r="E1213" s="1466"/>
      <c r="F1213" s="1468"/>
      <c r="G1213" s="343"/>
      <c r="H1213" s="335" t="s">
        <v>22</v>
      </c>
      <c r="I1213" s="341"/>
      <c r="J1213" s="341"/>
      <c r="K1213" s="341">
        <f t="shared" si="578"/>
        <v>0</v>
      </c>
      <c r="L1213" s="341">
        <f t="shared" si="579"/>
        <v>0</v>
      </c>
      <c r="M1213" s="337"/>
      <c r="N1213" s="341"/>
      <c r="O1213" s="338">
        <f t="shared" si="509"/>
        <v>0</v>
      </c>
      <c r="P1213" s="341"/>
      <c r="Q1213" s="431"/>
      <c r="R1213" s="28">
        <f t="shared" si="559"/>
        <v>3.5000000000000003E-2</v>
      </c>
      <c r="S1213" s="14"/>
      <c r="T1213" s="423">
        <f t="shared" si="580"/>
        <v>0</v>
      </c>
      <c r="U1213" s="14"/>
      <c r="V1213" s="14">
        <v>1</v>
      </c>
      <c r="W1213" s="14">
        <f t="shared" si="581"/>
        <v>0</v>
      </c>
      <c r="X1213" s="35">
        <f t="shared" si="582"/>
        <v>0</v>
      </c>
      <c r="Y1213" s="14"/>
      <c r="Z1213" s="14"/>
    </row>
    <row r="1214" spans="3:26" ht="15" hidden="1" outlineLevel="2">
      <c r="C1214" s="1464"/>
      <c r="D1214" s="1464"/>
      <c r="E1214" s="1466"/>
      <c r="F1214" s="1468"/>
      <c r="G1214" s="343"/>
      <c r="H1214" s="335" t="s">
        <v>22</v>
      </c>
      <c r="I1214" s="341"/>
      <c r="J1214" s="341"/>
      <c r="K1214" s="341">
        <f t="shared" si="578"/>
        <v>0</v>
      </c>
      <c r="L1214" s="341">
        <f t="shared" si="579"/>
        <v>0</v>
      </c>
      <c r="M1214" s="342"/>
      <c r="N1214" s="341"/>
      <c r="O1214" s="338">
        <f t="shared" si="509"/>
        <v>0</v>
      </c>
      <c r="P1214" s="341"/>
      <c r="Q1214" s="431"/>
      <c r="R1214" s="28">
        <f t="shared" si="559"/>
        <v>3.5000000000000003E-2</v>
      </c>
      <c r="S1214" s="14"/>
      <c r="T1214" s="423">
        <f t="shared" si="580"/>
        <v>0</v>
      </c>
      <c r="U1214" s="14"/>
      <c r="V1214" s="14">
        <v>1</v>
      </c>
      <c r="W1214" s="14">
        <f t="shared" si="581"/>
        <v>0</v>
      </c>
      <c r="X1214" s="35">
        <f t="shared" si="582"/>
        <v>0</v>
      </c>
      <c r="Y1214" s="14"/>
      <c r="Z1214" s="14"/>
    </row>
    <row r="1215" spans="3:26" ht="15" hidden="1" outlineLevel="2">
      <c r="C1215" s="1464"/>
      <c r="D1215" s="1464"/>
      <c r="E1215" s="1466"/>
      <c r="F1215" s="1468"/>
      <c r="G1215" s="343"/>
      <c r="H1215" s="335" t="s">
        <v>22</v>
      </c>
      <c r="I1215" s="341"/>
      <c r="J1215" s="341"/>
      <c r="K1215" s="341">
        <f t="shared" si="578"/>
        <v>0</v>
      </c>
      <c r="L1215" s="341">
        <f t="shared" si="579"/>
        <v>0</v>
      </c>
      <c r="M1215" s="342"/>
      <c r="N1215" s="341"/>
      <c r="O1215" s="338">
        <f t="shared" si="509"/>
        <v>0</v>
      </c>
      <c r="P1215" s="341"/>
      <c r="Q1215" s="431"/>
      <c r="R1215" s="28">
        <f t="shared" si="559"/>
        <v>3.5000000000000003E-2</v>
      </c>
      <c r="S1215" s="14"/>
      <c r="T1215" s="423">
        <f t="shared" si="580"/>
        <v>0</v>
      </c>
      <c r="U1215" s="14"/>
      <c r="V1215" s="14">
        <v>1</v>
      </c>
      <c r="W1215" s="14">
        <f t="shared" si="581"/>
        <v>0</v>
      </c>
      <c r="X1215" s="35">
        <f t="shared" si="582"/>
        <v>0</v>
      </c>
      <c r="Y1215" s="14"/>
      <c r="Z1215" s="14"/>
    </row>
    <row r="1216" spans="3:26" ht="15" hidden="1" outlineLevel="2">
      <c r="C1216" s="1464"/>
      <c r="D1216" s="1464"/>
      <c r="E1216" s="1466"/>
      <c r="F1216" s="1468"/>
      <c r="G1216" s="343"/>
      <c r="H1216" s="335" t="s">
        <v>22</v>
      </c>
      <c r="I1216" s="341"/>
      <c r="J1216" s="341"/>
      <c r="K1216" s="341">
        <f t="shared" si="578"/>
        <v>0</v>
      </c>
      <c r="L1216" s="341">
        <f t="shared" si="579"/>
        <v>0</v>
      </c>
      <c r="M1216" s="342"/>
      <c r="N1216" s="341"/>
      <c r="O1216" s="338">
        <f t="shared" ref="O1216:O1256" si="583">IF(N1216=0,0,N1216/J1216)</f>
        <v>0</v>
      </c>
      <c r="P1216" s="341"/>
      <c r="Q1216" s="431"/>
      <c r="R1216" s="28">
        <f t="shared" si="559"/>
        <v>3.5000000000000003E-2</v>
      </c>
      <c r="S1216" s="14"/>
      <c r="T1216" s="423">
        <f t="shared" si="580"/>
        <v>0</v>
      </c>
      <c r="U1216" s="14"/>
      <c r="V1216" s="14">
        <v>1</v>
      </c>
      <c r="W1216" s="14">
        <f t="shared" si="581"/>
        <v>0</v>
      </c>
      <c r="X1216" s="35">
        <f t="shared" si="582"/>
        <v>0</v>
      </c>
      <c r="Y1216" s="14"/>
      <c r="Z1216" s="14"/>
    </row>
    <row r="1217" spans="3:26" ht="15" hidden="1" outlineLevel="2">
      <c r="C1217" s="1464"/>
      <c r="D1217" s="1464"/>
      <c r="E1217" s="1466"/>
      <c r="F1217" s="1468"/>
      <c r="G1217" s="343"/>
      <c r="H1217" s="335" t="s">
        <v>22</v>
      </c>
      <c r="I1217" s="341"/>
      <c r="J1217" s="341"/>
      <c r="K1217" s="341">
        <f t="shared" si="578"/>
        <v>0</v>
      </c>
      <c r="L1217" s="341">
        <f t="shared" si="579"/>
        <v>0</v>
      </c>
      <c r="M1217" s="342"/>
      <c r="N1217" s="341"/>
      <c r="O1217" s="338">
        <f t="shared" si="583"/>
        <v>0</v>
      </c>
      <c r="P1217" s="341"/>
      <c r="Q1217" s="431"/>
      <c r="R1217" s="28">
        <f t="shared" si="559"/>
        <v>3.5000000000000003E-2</v>
      </c>
      <c r="S1217" s="14"/>
      <c r="T1217" s="423">
        <f t="shared" si="580"/>
        <v>0</v>
      </c>
      <c r="U1217" s="14"/>
      <c r="V1217" s="14">
        <v>1</v>
      </c>
      <c r="W1217" s="14">
        <f t="shared" si="581"/>
        <v>0</v>
      </c>
      <c r="X1217" s="35">
        <f t="shared" si="582"/>
        <v>0</v>
      </c>
      <c r="Y1217" s="14"/>
      <c r="Z1217" s="14"/>
    </row>
    <row r="1218" spans="3:26" ht="15" hidden="1" outlineLevel="2">
      <c r="C1218" s="1464"/>
      <c r="D1218" s="1464"/>
      <c r="E1218" s="1466"/>
      <c r="F1218" s="1468"/>
      <c r="G1218" s="343"/>
      <c r="H1218" s="335" t="s">
        <v>22</v>
      </c>
      <c r="I1218" s="341"/>
      <c r="J1218" s="341"/>
      <c r="K1218" s="341">
        <f t="shared" si="578"/>
        <v>0</v>
      </c>
      <c r="L1218" s="341">
        <f t="shared" si="579"/>
        <v>0</v>
      </c>
      <c r="M1218" s="342"/>
      <c r="N1218" s="341"/>
      <c r="O1218" s="338">
        <f t="shared" si="583"/>
        <v>0</v>
      </c>
      <c r="P1218" s="341"/>
      <c r="Q1218" s="431"/>
      <c r="R1218" s="28">
        <f t="shared" si="559"/>
        <v>3.5000000000000003E-2</v>
      </c>
      <c r="S1218" s="14"/>
      <c r="T1218" s="423">
        <f t="shared" si="580"/>
        <v>0</v>
      </c>
      <c r="U1218" s="14"/>
      <c r="V1218" s="14">
        <v>1</v>
      </c>
      <c r="W1218" s="14">
        <f t="shared" si="581"/>
        <v>0</v>
      </c>
      <c r="X1218" s="35">
        <f t="shared" si="582"/>
        <v>0</v>
      </c>
      <c r="Y1218" s="14"/>
      <c r="Z1218" s="14"/>
    </row>
    <row r="1219" spans="3:26" ht="15" hidden="1" outlineLevel="2">
      <c r="C1219" s="1464"/>
      <c r="D1219" s="1464"/>
      <c r="E1219" s="1466"/>
      <c r="F1219" s="1468"/>
      <c r="G1219" s="344"/>
      <c r="H1219" s="335" t="s">
        <v>22</v>
      </c>
      <c r="I1219" s="345"/>
      <c r="J1219" s="345"/>
      <c r="K1219" s="341">
        <f t="shared" si="578"/>
        <v>0</v>
      </c>
      <c r="L1219" s="341">
        <f t="shared" si="579"/>
        <v>0</v>
      </c>
      <c r="M1219" s="346"/>
      <c r="N1219" s="345"/>
      <c r="O1219" s="338">
        <f t="shared" si="583"/>
        <v>0</v>
      </c>
      <c r="P1219" s="345"/>
      <c r="Q1219" s="432"/>
      <c r="R1219" s="28">
        <f t="shared" si="559"/>
        <v>3.5000000000000003E-2</v>
      </c>
      <c r="S1219" s="14"/>
      <c r="T1219" s="423">
        <f t="shared" si="580"/>
        <v>0</v>
      </c>
      <c r="U1219" s="14"/>
      <c r="V1219" s="14">
        <v>1</v>
      </c>
      <c r="W1219" s="14">
        <f t="shared" si="581"/>
        <v>0</v>
      </c>
      <c r="X1219" s="35">
        <f t="shared" si="582"/>
        <v>0</v>
      </c>
      <c r="Y1219" s="14"/>
      <c r="Z1219" s="14"/>
    </row>
    <row r="1220" spans="3:26" ht="15" hidden="1" outlineLevel="2">
      <c r="C1220" s="1464"/>
      <c r="D1220" s="1464"/>
      <c r="E1220" s="1466"/>
      <c r="F1220" s="1468"/>
      <c r="G1220" s="343"/>
      <c r="H1220" s="335" t="s">
        <v>22</v>
      </c>
      <c r="I1220" s="341"/>
      <c r="J1220" s="341"/>
      <c r="K1220" s="341">
        <f t="shared" si="578"/>
        <v>0</v>
      </c>
      <c r="L1220" s="341">
        <f t="shared" si="579"/>
        <v>0</v>
      </c>
      <c r="M1220" s="342"/>
      <c r="N1220" s="341"/>
      <c r="O1220" s="338">
        <f t="shared" si="583"/>
        <v>0</v>
      </c>
      <c r="P1220" s="341"/>
      <c r="Q1220" s="431"/>
      <c r="R1220" s="28">
        <f t="shared" si="559"/>
        <v>3.5000000000000003E-2</v>
      </c>
      <c r="S1220" s="14"/>
      <c r="T1220" s="423">
        <f t="shared" si="580"/>
        <v>0</v>
      </c>
      <c r="U1220" s="14"/>
      <c r="V1220" s="14">
        <v>1</v>
      </c>
      <c r="W1220" s="14">
        <f t="shared" si="581"/>
        <v>0</v>
      </c>
      <c r="X1220" s="35">
        <f t="shared" si="582"/>
        <v>0</v>
      </c>
      <c r="Y1220" s="14"/>
      <c r="Z1220" s="14"/>
    </row>
    <row r="1221" spans="3:26" ht="15" hidden="1" outlineLevel="2">
      <c r="C1221" s="1464"/>
      <c r="D1221" s="1464"/>
      <c r="E1221" s="1466"/>
      <c r="F1221" s="1468"/>
      <c r="G1221" s="1470" t="s">
        <v>44</v>
      </c>
      <c r="H1221" s="1471"/>
      <c r="I1221" s="347">
        <f>SUM(I1211:I1220)</f>
        <v>0</v>
      </c>
      <c r="J1221" s="347">
        <f t="shared" ref="J1221" si="584">SUM(J1211:J1220)</f>
        <v>0</v>
      </c>
      <c r="K1221" s="347">
        <f>SUM(K1211:K1220)</f>
        <v>0</v>
      </c>
      <c r="L1221" s="347">
        <f>SUM(L1211:L1220)</f>
        <v>0</v>
      </c>
      <c r="M1221" s="348"/>
      <c r="N1221" s="347">
        <f>N1211</f>
        <v>0</v>
      </c>
      <c r="O1221" s="349">
        <f t="shared" si="583"/>
        <v>0</v>
      </c>
      <c r="P1221" s="347">
        <f t="shared" ref="P1221:Q1221" si="585">SUM(P1211:P1220)</f>
        <v>0</v>
      </c>
      <c r="Q1221" s="433">
        <f t="shared" si="585"/>
        <v>0</v>
      </c>
      <c r="R1221" s="36" t="str">
        <f t="shared" si="559"/>
        <v/>
      </c>
      <c r="S1221" s="36">
        <f>SUM(S1211:S1220)</f>
        <v>0</v>
      </c>
      <c r="T1221" s="420">
        <f t="shared" ref="T1221" si="586">SUM(T1211:T1220)</f>
        <v>0</v>
      </c>
      <c r="U1221" s="36"/>
      <c r="V1221" s="36"/>
      <c r="W1221" s="36">
        <f t="shared" ref="W1221" si="587">SUM(W1211:W1220)</f>
        <v>0</v>
      </c>
      <c r="X1221" s="36"/>
      <c r="Y1221" s="14"/>
      <c r="Z1221" s="14"/>
    </row>
    <row r="1222" spans="3:26" ht="15" outlineLevel="1" collapsed="1">
      <c r="C1222" s="1464"/>
      <c r="D1222" s="1464"/>
      <c r="E1222" s="1466"/>
      <c r="F1222" s="1469"/>
      <c r="G1222" s="1470" t="s">
        <v>177</v>
      </c>
      <c r="H1222" s="1471"/>
      <c r="I1222" s="347">
        <f>(I1199/usdrate)+(I1210*jodrate)+I1221</f>
        <v>0</v>
      </c>
      <c r="J1222" s="347">
        <f>(J1199/usdrate)+(J1210*jodrate)+J1221</f>
        <v>0</v>
      </c>
      <c r="K1222" s="347">
        <f>(K1199/usdrate)+(K1210*jodrate)+K1221</f>
        <v>0</v>
      </c>
      <c r="L1222" s="347">
        <f>(L1199/usdrate)+(L1210*jodrate)+L1221</f>
        <v>0</v>
      </c>
      <c r="M1222" s="348"/>
      <c r="N1222" s="347">
        <f>(N1199/usdrate)+(N1210*jodrate)+N1221</f>
        <v>0</v>
      </c>
      <c r="O1222" s="349">
        <f t="shared" si="583"/>
        <v>0</v>
      </c>
      <c r="P1222" s="347">
        <f>(P1199/usdrate)+(P1210*jodrate)+P1221</f>
        <v>0</v>
      </c>
      <c r="Q1222" s="433">
        <f>(Q1199/usdrate)+(Q1210*jodrate)+Q1221</f>
        <v>0</v>
      </c>
      <c r="R1222" s="58"/>
      <c r="S1222" s="36">
        <f t="shared" ref="S1222:W1222" si="588">(S1199/usdrate)+(S1210*jodrate)+S1221</f>
        <v>0</v>
      </c>
      <c r="T1222" s="420">
        <f t="shared" si="588"/>
        <v>0</v>
      </c>
      <c r="U1222" s="36">
        <f t="shared" si="588"/>
        <v>0</v>
      </c>
      <c r="V1222" s="36">
        <f t="shared" si="588"/>
        <v>0</v>
      </c>
      <c r="W1222" s="36">
        <f t="shared" si="588"/>
        <v>0</v>
      </c>
      <c r="X1222" s="36"/>
      <c r="Y1222" s="14"/>
      <c r="Z1222" s="14"/>
    </row>
    <row r="1223" spans="3:26" ht="15" hidden="1" outlineLevel="2">
      <c r="C1223" s="1464"/>
      <c r="D1223" s="1464"/>
      <c r="E1223" s="1466"/>
      <c r="F1223" s="1472" t="s">
        <v>171</v>
      </c>
      <c r="G1223" s="353"/>
      <c r="H1223" s="340" t="s">
        <v>4</v>
      </c>
      <c r="I1223" s="341"/>
      <c r="J1223" s="341"/>
      <c r="K1223" s="341"/>
      <c r="L1223" s="341"/>
      <c r="M1223" s="337"/>
      <c r="N1223" s="336"/>
      <c r="O1223" s="338">
        <f t="shared" si="583"/>
        <v>0</v>
      </c>
      <c r="P1223" s="341"/>
      <c r="Q1223" s="431"/>
      <c r="R1223" s="28"/>
      <c r="S1223" s="14"/>
      <c r="T1223" s="423"/>
      <c r="U1223" s="14"/>
      <c r="V1223" s="14"/>
      <c r="W1223" s="14"/>
      <c r="X1223" s="14"/>
      <c r="Y1223" s="14"/>
      <c r="Z1223" s="14"/>
    </row>
    <row r="1224" spans="3:26" ht="15" hidden="1" outlineLevel="2">
      <c r="C1224" s="1464"/>
      <c r="D1224" s="1464"/>
      <c r="E1224" s="1466"/>
      <c r="F1224" s="1468"/>
      <c r="G1224" s="343"/>
      <c r="H1224" s="340" t="s">
        <v>4</v>
      </c>
      <c r="I1224" s="341"/>
      <c r="J1224" s="341"/>
      <c r="K1224" s="341"/>
      <c r="L1224" s="341"/>
      <c r="M1224" s="342"/>
      <c r="N1224" s="341">
        <v>0</v>
      </c>
      <c r="O1224" s="338">
        <f t="shared" si="583"/>
        <v>0</v>
      </c>
      <c r="P1224" s="341"/>
      <c r="Q1224" s="431"/>
      <c r="R1224" s="28"/>
      <c r="S1224" s="14"/>
      <c r="T1224" s="423"/>
      <c r="U1224" s="14"/>
      <c r="V1224" s="14"/>
      <c r="W1224" s="14"/>
      <c r="X1224" s="14"/>
      <c r="Y1224" s="14"/>
      <c r="Z1224" s="14"/>
    </row>
    <row r="1225" spans="3:26" ht="15" hidden="1" outlineLevel="2">
      <c r="C1225" s="1464"/>
      <c r="D1225" s="1464"/>
      <c r="E1225" s="1466"/>
      <c r="F1225" s="1468"/>
      <c r="G1225" s="343"/>
      <c r="H1225" s="340" t="s">
        <v>4</v>
      </c>
      <c r="I1225" s="341"/>
      <c r="J1225" s="341"/>
      <c r="K1225" s="341"/>
      <c r="L1225" s="341"/>
      <c r="M1225" s="337"/>
      <c r="N1225" s="341"/>
      <c r="O1225" s="338">
        <f t="shared" si="583"/>
        <v>0</v>
      </c>
      <c r="P1225" s="341"/>
      <c r="Q1225" s="431"/>
      <c r="R1225" s="28"/>
      <c r="S1225" s="14"/>
      <c r="T1225" s="423"/>
      <c r="U1225" s="14"/>
      <c r="V1225" s="14"/>
      <c r="W1225" s="14"/>
      <c r="X1225" s="14"/>
      <c r="Y1225" s="14"/>
      <c r="Z1225" s="14"/>
    </row>
    <row r="1226" spans="3:26" ht="15" hidden="1" outlineLevel="2">
      <c r="C1226" s="1464"/>
      <c r="D1226" s="1464"/>
      <c r="E1226" s="1466"/>
      <c r="F1226" s="1468"/>
      <c r="G1226" s="343"/>
      <c r="H1226" s="340" t="s">
        <v>4</v>
      </c>
      <c r="I1226" s="341"/>
      <c r="J1226" s="341"/>
      <c r="K1226" s="341"/>
      <c r="L1226" s="341"/>
      <c r="M1226" s="342"/>
      <c r="N1226" s="341"/>
      <c r="O1226" s="338">
        <f t="shared" si="583"/>
        <v>0</v>
      </c>
      <c r="P1226" s="341"/>
      <c r="Q1226" s="431"/>
      <c r="R1226" s="28"/>
      <c r="S1226" s="14"/>
      <c r="T1226" s="423"/>
      <c r="U1226" s="14"/>
      <c r="V1226" s="14"/>
      <c r="W1226" s="14"/>
      <c r="X1226" s="14"/>
      <c r="Y1226" s="14"/>
      <c r="Z1226" s="14"/>
    </row>
    <row r="1227" spans="3:26" ht="15" hidden="1" outlineLevel="2">
      <c r="C1227" s="1464"/>
      <c r="D1227" s="1464"/>
      <c r="E1227" s="1466"/>
      <c r="F1227" s="1468"/>
      <c r="G1227" s="343"/>
      <c r="H1227" s="340" t="s">
        <v>4</v>
      </c>
      <c r="I1227" s="341"/>
      <c r="J1227" s="341"/>
      <c r="K1227" s="341"/>
      <c r="L1227" s="341"/>
      <c r="M1227" s="342"/>
      <c r="N1227" s="341"/>
      <c r="O1227" s="338">
        <f t="shared" si="583"/>
        <v>0</v>
      </c>
      <c r="P1227" s="341"/>
      <c r="Q1227" s="431"/>
      <c r="R1227" s="28"/>
      <c r="S1227" s="29"/>
      <c r="T1227" s="424"/>
      <c r="U1227" s="29"/>
      <c r="V1227" s="29"/>
      <c r="W1227" s="29"/>
      <c r="X1227" s="29"/>
      <c r="Y1227" s="29"/>
      <c r="Z1227" s="29"/>
    </row>
    <row r="1228" spans="3:26" ht="15" hidden="1" outlineLevel="2">
      <c r="C1228" s="1464"/>
      <c r="D1228" s="1464"/>
      <c r="E1228" s="1466"/>
      <c r="F1228" s="1468"/>
      <c r="G1228" s="343"/>
      <c r="H1228" s="340" t="s">
        <v>4</v>
      </c>
      <c r="I1228" s="341"/>
      <c r="J1228" s="341"/>
      <c r="K1228" s="341"/>
      <c r="L1228" s="341"/>
      <c r="M1228" s="342"/>
      <c r="N1228" s="341"/>
      <c r="O1228" s="338">
        <f t="shared" si="583"/>
        <v>0</v>
      </c>
      <c r="P1228" s="341"/>
      <c r="Q1228" s="431"/>
      <c r="R1228" s="28"/>
      <c r="S1228" s="14"/>
      <c r="T1228" s="423"/>
      <c r="U1228" s="14"/>
      <c r="V1228" s="14"/>
      <c r="W1228" s="14"/>
      <c r="X1228" s="14"/>
      <c r="Y1228" s="14"/>
      <c r="Z1228" s="14"/>
    </row>
    <row r="1229" spans="3:26" ht="15" hidden="1" outlineLevel="2">
      <c r="C1229" s="1464"/>
      <c r="D1229" s="1464"/>
      <c r="E1229" s="1466"/>
      <c r="F1229" s="1468"/>
      <c r="G1229" s="343"/>
      <c r="H1229" s="340" t="s">
        <v>4</v>
      </c>
      <c r="I1229" s="341"/>
      <c r="J1229" s="341"/>
      <c r="K1229" s="341"/>
      <c r="L1229" s="341"/>
      <c r="M1229" s="342"/>
      <c r="N1229" s="341"/>
      <c r="O1229" s="338">
        <f t="shared" si="583"/>
        <v>0</v>
      </c>
      <c r="P1229" s="341"/>
      <c r="Q1229" s="431"/>
      <c r="R1229" s="28"/>
      <c r="S1229" s="14"/>
      <c r="T1229" s="423"/>
      <c r="U1229" s="14"/>
      <c r="V1229" s="14"/>
      <c r="W1229" s="14"/>
      <c r="X1229" s="14"/>
      <c r="Y1229" s="14"/>
      <c r="Z1229" s="14"/>
    </row>
    <row r="1230" spans="3:26" ht="15" hidden="1" outlineLevel="2">
      <c r="C1230" s="1464"/>
      <c r="D1230" s="1464"/>
      <c r="E1230" s="1466"/>
      <c r="F1230" s="1468"/>
      <c r="G1230" s="343"/>
      <c r="H1230" s="340" t="s">
        <v>4</v>
      </c>
      <c r="I1230" s="341"/>
      <c r="J1230" s="341"/>
      <c r="K1230" s="341"/>
      <c r="L1230" s="341"/>
      <c r="M1230" s="342"/>
      <c r="N1230" s="341"/>
      <c r="O1230" s="338">
        <f t="shared" si="583"/>
        <v>0</v>
      </c>
      <c r="P1230" s="341"/>
      <c r="Q1230" s="431"/>
      <c r="R1230" s="28"/>
      <c r="S1230" s="14"/>
      <c r="T1230" s="423"/>
      <c r="U1230" s="14"/>
      <c r="V1230" s="14"/>
      <c r="W1230" s="14"/>
      <c r="X1230" s="14"/>
      <c r="Y1230" s="14"/>
      <c r="Z1230" s="14"/>
    </row>
    <row r="1231" spans="3:26" ht="15" hidden="1" outlineLevel="2">
      <c r="C1231" s="1464"/>
      <c r="D1231" s="1464"/>
      <c r="E1231" s="1466"/>
      <c r="F1231" s="1468"/>
      <c r="G1231" s="344"/>
      <c r="H1231" s="340" t="s">
        <v>4</v>
      </c>
      <c r="I1231" s="345"/>
      <c r="J1231" s="345"/>
      <c r="K1231" s="345"/>
      <c r="L1231" s="345"/>
      <c r="M1231" s="346"/>
      <c r="N1231" s="345"/>
      <c r="O1231" s="338">
        <f t="shared" si="583"/>
        <v>0</v>
      </c>
      <c r="P1231" s="345"/>
      <c r="Q1231" s="432"/>
      <c r="R1231" s="28"/>
      <c r="S1231" s="30"/>
      <c r="T1231" s="424"/>
      <c r="U1231" s="30"/>
      <c r="V1231" s="30"/>
      <c r="W1231" s="30"/>
      <c r="X1231" s="30"/>
      <c r="Y1231" s="30"/>
      <c r="Z1231" s="30"/>
    </row>
    <row r="1232" spans="3:26" ht="15" hidden="1" outlineLevel="2">
      <c r="C1232" s="1464"/>
      <c r="D1232" s="1464"/>
      <c r="E1232" s="1466"/>
      <c r="F1232" s="1468"/>
      <c r="G1232" s="343"/>
      <c r="H1232" s="340" t="s">
        <v>4</v>
      </c>
      <c r="I1232" s="341"/>
      <c r="J1232" s="341"/>
      <c r="K1232" s="341"/>
      <c r="L1232" s="341"/>
      <c r="M1232" s="342"/>
      <c r="N1232" s="341"/>
      <c r="O1232" s="338">
        <f t="shared" si="583"/>
        <v>0</v>
      </c>
      <c r="P1232" s="341"/>
      <c r="Q1232" s="431"/>
      <c r="R1232" s="28"/>
      <c r="S1232" s="14"/>
      <c r="T1232" s="423"/>
      <c r="U1232" s="14"/>
      <c r="V1232" s="14"/>
      <c r="W1232" s="14"/>
      <c r="X1232" s="14"/>
      <c r="Y1232" s="14"/>
      <c r="Z1232" s="14"/>
    </row>
    <row r="1233" spans="3:26" ht="15" hidden="1" outlineLevel="2">
      <c r="C1233" s="1464"/>
      <c r="D1233" s="1464"/>
      <c r="E1233" s="1466"/>
      <c r="F1233" s="1468"/>
      <c r="G1233" s="1470" t="s">
        <v>45</v>
      </c>
      <c r="H1233" s="1471"/>
      <c r="I1233" s="347">
        <f>SUM(I1223:I1232)</f>
        <v>0</v>
      </c>
      <c r="J1233" s="347">
        <f t="shared" ref="J1233:K1233" si="589">SUM(J1223:J1232)</f>
        <v>0</v>
      </c>
      <c r="K1233" s="347">
        <f t="shared" si="589"/>
        <v>0</v>
      </c>
      <c r="L1233" s="347">
        <f t="shared" ref="L1233" si="590">SUM(L1223:L1232)</f>
        <v>0</v>
      </c>
      <c r="M1233" s="348"/>
      <c r="N1233" s="347">
        <f>N1223</f>
        <v>0</v>
      </c>
      <c r="O1233" s="349">
        <f t="shared" si="583"/>
        <v>0</v>
      </c>
      <c r="P1233" s="347">
        <f t="shared" ref="P1233:Q1233" si="591">SUM(P1223:P1232)</f>
        <v>0</v>
      </c>
      <c r="Q1233" s="433">
        <f t="shared" si="591"/>
        <v>0</v>
      </c>
      <c r="R1233" s="28"/>
      <c r="S1233" s="14"/>
      <c r="T1233" s="423"/>
      <c r="U1233" s="14"/>
      <c r="V1233" s="14"/>
      <c r="W1233" s="14"/>
      <c r="X1233" s="14"/>
      <c r="Y1233" s="14"/>
      <c r="Z1233" s="14"/>
    </row>
    <row r="1234" spans="3:26" ht="15" hidden="1" outlineLevel="2">
      <c r="C1234" s="1464"/>
      <c r="D1234" s="1464"/>
      <c r="E1234" s="1466"/>
      <c r="F1234" s="1468"/>
      <c r="G1234" s="350"/>
      <c r="H1234" s="335" t="s">
        <v>28</v>
      </c>
      <c r="I1234" s="336"/>
      <c r="J1234" s="336"/>
      <c r="K1234" s="336"/>
      <c r="L1234" s="336"/>
      <c r="M1234" s="337"/>
      <c r="N1234" s="336"/>
      <c r="O1234" s="338">
        <f t="shared" si="583"/>
        <v>0</v>
      </c>
      <c r="P1234" s="336"/>
      <c r="Q1234" s="430"/>
      <c r="R1234" s="28"/>
      <c r="S1234" s="14"/>
      <c r="T1234" s="423"/>
      <c r="U1234" s="14"/>
      <c r="V1234" s="14"/>
      <c r="W1234" s="14"/>
      <c r="X1234" s="14"/>
      <c r="Y1234" s="14"/>
      <c r="Z1234" s="14"/>
    </row>
    <row r="1235" spans="3:26" ht="15" hidden="1" outlineLevel="2">
      <c r="C1235" s="1464"/>
      <c r="D1235" s="1464"/>
      <c r="E1235" s="1466"/>
      <c r="F1235" s="1468"/>
      <c r="G1235" s="343"/>
      <c r="H1235" s="335" t="s">
        <v>28</v>
      </c>
      <c r="I1235" s="341"/>
      <c r="J1235" s="341"/>
      <c r="K1235" s="341"/>
      <c r="L1235" s="341"/>
      <c r="M1235" s="342"/>
      <c r="N1235" s="341"/>
      <c r="O1235" s="338">
        <f t="shared" si="583"/>
        <v>0</v>
      </c>
      <c r="P1235" s="341"/>
      <c r="Q1235" s="431"/>
      <c r="R1235" s="28"/>
      <c r="S1235" s="30"/>
      <c r="T1235" s="424"/>
      <c r="U1235" s="30"/>
      <c r="V1235" s="30"/>
      <c r="W1235" s="30"/>
      <c r="X1235" s="30"/>
      <c r="Y1235" s="30"/>
      <c r="Z1235" s="30"/>
    </row>
    <row r="1236" spans="3:26" ht="15" hidden="1" outlineLevel="2">
      <c r="C1236" s="1464"/>
      <c r="D1236" s="1464"/>
      <c r="E1236" s="1466"/>
      <c r="F1236" s="1468"/>
      <c r="G1236" s="343"/>
      <c r="H1236" s="335" t="s">
        <v>28</v>
      </c>
      <c r="I1236" s="341"/>
      <c r="J1236" s="341"/>
      <c r="K1236" s="341"/>
      <c r="L1236" s="341"/>
      <c r="M1236" s="337"/>
      <c r="N1236" s="341"/>
      <c r="O1236" s="338">
        <f t="shared" si="583"/>
        <v>0</v>
      </c>
      <c r="P1236" s="341"/>
      <c r="Q1236" s="431"/>
      <c r="R1236" s="28"/>
      <c r="S1236" s="14"/>
      <c r="T1236" s="423"/>
      <c r="U1236" s="14"/>
      <c r="V1236" s="14"/>
      <c r="W1236" s="14"/>
      <c r="X1236" s="14"/>
      <c r="Y1236" s="14"/>
      <c r="Z1236" s="14"/>
    </row>
    <row r="1237" spans="3:26" ht="15" hidden="1" outlineLevel="2">
      <c r="C1237" s="1464"/>
      <c r="D1237" s="1464"/>
      <c r="E1237" s="1466"/>
      <c r="F1237" s="1468"/>
      <c r="G1237" s="343"/>
      <c r="H1237" s="335" t="s">
        <v>28</v>
      </c>
      <c r="I1237" s="341"/>
      <c r="J1237" s="341"/>
      <c r="K1237" s="341"/>
      <c r="L1237" s="341"/>
      <c r="M1237" s="342"/>
      <c r="N1237" s="341"/>
      <c r="O1237" s="338">
        <f t="shared" si="583"/>
        <v>0</v>
      </c>
      <c r="P1237" s="341"/>
      <c r="Q1237" s="431"/>
      <c r="R1237" s="28"/>
      <c r="S1237" s="14"/>
      <c r="T1237" s="423"/>
      <c r="U1237" s="14"/>
      <c r="V1237" s="14"/>
      <c r="W1237" s="14"/>
      <c r="X1237" s="14"/>
      <c r="Y1237" s="14"/>
      <c r="Z1237" s="14"/>
    </row>
    <row r="1238" spans="3:26" ht="15" hidden="1" outlineLevel="2">
      <c r="C1238" s="1464"/>
      <c r="D1238" s="1464"/>
      <c r="E1238" s="1466"/>
      <c r="F1238" s="1468"/>
      <c r="G1238" s="343"/>
      <c r="H1238" s="335" t="s">
        <v>28</v>
      </c>
      <c r="I1238" s="341"/>
      <c r="J1238" s="341"/>
      <c r="K1238" s="341"/>
      <c r="L1238" s="341"/>
      <c r="M1238" s="342"/>
      <c r="N1238" s="341"/>
      <c r="O1238" s="338">
        <f t="shared" si="583"/>
        <v>0</v>
      </c>
      <c r="P1238" s="341"/>
      <c r="Q1238" s="431"/>
      <c r="R1238" s="28"/>
      <c r="S1238" s="30"/>
      <c r="T1238" s="424"/>
      <c r="U1238" s="30"/>
      <c r="V1238" s="30"/>
      <c r="W1238" s="30"/>
      <c r="X1238" s="30"/>
      <c r="Y1238" s="30"/>
      <c r="Z1238" s="30"/>
    </row>
    <row r="1239" spans="3:26" ht="15" hidden="1" outlineLevel="2">
      <c r="C1239" s="1464"/>
      <c r="D1239" s="1464"/>
      <c r="E1239" s="1466"/>
      <c r="F1239" s="1468"/>
      <c r="G1239" s="343"/>
      <c r="H1239" s="335" t="s">
        <v>28</v>
      </c>
      <c r="I1239" s="341"/>
      <c r="J1239" s="341"/>
      <c r="K1239" s="341"/>
      <c r="L1239" s="341"/>
      <c r="M1239" s="342"/>
      <c r="N1239" s="341"/>
      <c r="O1239" s="338">
        <f t="shared" si="583"/>
        <v>0</v>
      </c>
      <c r="P1239" s="341"/>
      <c r="Q1239" s="431"/>
      <c r="T1239" s="418"/>
    </row>
    <row r="1240" spans="3:26" ht="15" hidden="1" outlineLevel="2">
      <c r="C1240" s="1464"/>
      <c r="D1240" s="1464"/>
      <c r="E1240" s="1466"/>
      <c r="F1240" s="1468"/>
      <c r="G1240" s="343"/>
      <c r="H1240" s="335" t="s">
        <v>28</v>
      </c>
      <c r="I1240" s="341"/>
      <c r="J1240" s="341"/>
      <c r="K1240" s="341"/>
      <c r="L1240" s="341"/>
      <c r="M1240" s="342"/>
      <c r="N1240" s="341"/>
      <c r="O1240" s="338">
        <f t="shared" si="583"/>
        <v>0</v>
      </c>
      <c r="P1240" s="341"/>
      <c r="Q1240" s="431"/>
      <c r="T1240" s="418"/>
    </row>
    <row r="1241" spans="3:26" ht="15" hidden="1" outlineLevel="2">
      <c r="C1241" s="1464"/>
      <c r="D1241" s="1464"/>
      <c r="E1241" s="1466"/>
      <c r="F1241" s="1468"/>
      <c r="G1241" s="343"/>
      <c r="H1241" s="335" t="s">
        <v>28</v>
      </c>
      <c r="I1241" s="341"/>
      <c r="J1241" s="341"/>
      <c r="K1241" s="341"/>
      <c r="L1241" s="341"/>
      <c r="M1241" s="342"/>
      <c r="N1241" s="341"/>
      <c r="O1241" s="338">
        <f t="shared" si="583"/>
        <v>0</v>
      </c>
      <c r="P1241" s="341"/>
      <c r="Q1241" s="431"/>
      <c r="T1241" s="418"/>
    </row>
    <row r="1242" spans="3:26" ht="15" hidden="1" outlineLevel="2">
      <c r="C1242" s="1464"/>
      <c r="D1242" s="1464"/>
      <c r="E1242" s="1466"/>
      <c r="F1242" s="1468"/>
      <c r="G1242" s="344"/>
      <c r="H1242" s="335" t="s">
        <v>28</v>
      </c>
      <c r="I1242" s="345"/>
      <c r="J1242" s="345"/>
      <c r="K1242" s="345"/>
      <c r="L1242" s="345"/>
      <c r="M1242" s="346"/>
      <c r="N1242" s="345"/>
      <c r="O1242" s="338">
        <f t="shared" si="583"/>
        <v>0</v>
      </c>
      <c r="P1242" s="345"/>
      <c r="Q1242" s="432"/>
      <c r="T1242" s="418"/>
    </row>
    <row r="1243" spans="3:26" ht="15" hidden="1" outlineLevel="2">
      <c r="C1243" s="1464"/>
      <c r="D1243" s="1464"/>
      <c r="E1243" s="1466"/>
      <c r="F1243" s="1468"/>
      <c r="G1243" s="343"/>
      <c r="H1243" s="335" t="s">
        <v>28</v>
      </c>
      <c r="I1243" s="341"/>
      <c r="J1243" s="341"/>
      <c r="K1243" s="341"/>
      <c r="L1243" s="341"/>
      <c r="M1243" s="342"/>
      <c r="N1243" s="341"/>
      <c r="O1243" s="338">
        <f t="shared" si="583"/>
        <v>0</v>
      </c>
      <c r="P1243" s="341"/>
      <c r="Q1243" s="431"/>
      <c r="T1243" s="418"/>
    </row>
    <row r="1244" spans="3:26" ht="15" hidden="1" outlineLevel="2">
      <c r="C1244" s="1464"/>
      <c r="D1244" s="1464"/>
      <c r="E1244" s="1466"/>
      <c r="F1244" s="1468"/>
      <c r="G1244" s="1470" t="s">
        <v>51</v>
      </c>
      <c r="H1244" s="1471"/>
      <c r="I1244" s="347">
        <f>SUM(I1234:I1243)</f>
        <v>0</v>
      </c>
      <c r="J1244" s="347">
        <f t="shared" ref="J1244:K1244" si="592">SUM(J1234:J1243)</f>
        <v>0</v>
      </c>
      <c r="K1244" s="347">
        <f t="shared" si="592"/>
        <v>0</v>
      </c>
      <c r="L1244" s="347">
        <f t="shared" ref="L1244" si="593">SUM(L1234:L1243)</f>
        <v>0</v>
      </c>
      <c r="M1244" s="348"/>
      <c r="N1244" s="347">
        <f>N1234</f>
        <v>0</v>
      </c>
      <c r="O1244" s="349">
        <f t="shared" si="583"/>
        <v>0</v>
      </c>
      <c r="P1244" s="347">
        <f t="shared" ref="P1244:Q1244" si="594">SUM(P1234:P1243)</f>
        <v>0</v>
      </c>
      <c r="Q1244" s="433">
        <f t="shared" si="594"/>
        <v>0</v>
      </c>
      <c r="T1244" s="418"/>
    </row>
    <row r="1245" spans="3:26" ht="15" hidden="1" outlineLevel="2">
      <c r="C1245" s="1464"/>
      <c r="D1245" s="1464"/>
      <c r="E1245" s="1466"/>
      <c r="F1245" s="1468"/>
      <c r="G1245" s="350"/>
      <c r="H1245" s="335" t="s">
        <v>22</v>
      </c>
      <c r="I1245" s="336"/>
      <c r="J1245" s="336"/>
      <c r="K1245" s="336"/>
      <c r="L1245" s="336"/>
      <c r="M1245" s="337"/>
      <c r="N1245" s="336"/>
      <c r="O1245" s="338">
        <f t="shared" si="583"/>
        <v>0</v>
      </c>
      <c r="P1245" s="336"/>
      <c r="Q1245" s="430"/>
      <c r="T1245" s="418"/>
    </row>
    <row r="1246" spans="3:26" ht="15" hidden="1" outlineLevel="2">
      <c r="C1246" s="1464"/>
      <c r="D1246" s="1464"/>
      <c r="E1246" s="1466"/>
      <c r="F1246" s="1468"/>
      <c r="G1246" s="343"/>
      <c r="H1246" s="335" t="s">
        <v>22</v>
      </c>
      <c r="I1246" s="341"/>
      <c r="J1246" s="341"/>
      <c r="K1246" s="341"/>
      <c r="L1246" s="341"/>
      <c r="M1246" s="342"/>
      <c r="N1246" s="341"/>
      <c r="O1246" s="338">
        <f t="shared" si="583"/>
        <v>0</v>
      </c>
      <c r="P1246" s="341"/>
      <c r="Q1246" s="431"/>
      <c r="T1246" s="418"/>
    </row>
    <row r="1247" spans="3:26" ht="15" hidden="1" outlineLevel="2">
      <c r="C1247" s="1464"/>
      <c r="D1247" s="1464"/>
      <c r="E1247" s="1466"/>
      <c r="F1247" s="1468"/>
      <c r="G1247" s="343"/>
      <c r="H1247" s="335" t="s">
        <v>22</v>
      </c>
      <c r="I1247" s="341"/>
      <c r="J1247" s="341"/>
      <c r="K1247" s="341"/>
      <c r="L1247" s="341"/>
      <c r="M1247" s="337"/>
      <c r="N1247" s="341"/>
      <c r="O1247" s="338">
        <f t="shared" si="583"/>
        <v>0</v>
      </c>
      <c r="P1247" s="341"/>
      <c r="Q1247" s="431"/>
      <c r="T1247" s="418"/>
    </row>
    <row r="1248" spans="3:26" ht="15" hidden="1" outlineLevel="2">
      <c r="C1248" s="1464"/>
      <c r="D1248" s="1464"/>
      <c r="E1248" s="1466"/>
      <c r="F1248" s="1468"/>
      <c r="G1248" s="343"/>
      <c r="H1248" s="335" t="s">
        <v>22</v>
      </c>
      <c r="I1248" s="341"/>
      <c r="J1248" s="341"/>
      <c r="K1248" s="341"/>
      <c r="L1248" s="341"/>
      <c r="M1248" s="342"/>
      <c r="N1248" s="341"/>
      <c r="O1248" s="338">
        <f t="shared" si="583"/>
        <v>0</v>
      </c>
      <c r="P1248" s="341"/>
      <c r="Q1248" s="431"/>
      <c r="T1248" s="418"/>
    </row>
    <row r="1249" spans="3:20" ht="15" hidden="1" outlineLevel="2">
      <c r="C1249" s="1464"/>
      <c r="D1249" s="1464"/>
      <c r="E1249" s="1466"/>
      <c r="F1249" s="1468"/>
      <c r="G1249" s="343"/>
      <c r="H1249" s="335" t="s">
        <v>22</v>
      </c>
      <c r="I1249" s="341"/>
      <c r="J1249" s="341"/>
      <c r="K1249" s="341"/>
      <c r="L1249" s="341"/>
      <c r="M1249" s="342"/>
      <c r="N1249" s="341"/>
      <c r="O1249" s="338">
        <f t="shared" si="583"/>
        <v>0</v>
      </c>
      <c r="P1249" s="341"/>
      <c r="Q1249" s="431"/>
      <c r="T1249" s="418"/>
    </row>
    <row r="1250" spans="3:20" ht="15" hidden="1" outlineLevel="2">
      <c r="C1250" s="1464"/>
      <c r="D1250" s="1464"/>
      <c r="E1250" s="1466"/>
      <c r="F1250" s="1468"/>
      <c r="G1250" s="343"/>
      <c r="H1250" s="335" t="s">
        <v>22</v>
      </c>
      <c r="I1250" s="341"/>
      <c r="J1250" s="341"/>
      <c r="K1250" s="341"/>
      <c r="L1250" s="341"/>
      <c r="M1250" s="342"/>
      <c r="N1250" s="341"/>
      <c r="O1250" s="338">
        <f t="shared" si="583"/>
        <v>0</v>
      </c>
      <c r="P1250" s="341"/>
      <c r="Q1250" s="431"/>
      <c r="T1250" s="418"/>
    </row>
    <row r="1251" spans="3:20" ht="15" hidden="1" outlineLevel="2">
      <c r="C1251" s="1464"/>
      <c r="D1251" s="1464"/>
      <c r="E1251" s="1466"/>
      <c r="F1251" s="1468"/>
      <c r="G1251" s="343"/>
      <c r="H1251" s="335" t="s">
        <v>22</v>
      </c>
      <c r="I1251" s="341"/>
      <c r="J1251" s="341"/>
      <c r="K1251" s="341"/>
      <c r="L1251" s="341"/>
      <c r="M1251" s="342"/>
      <c r="N1251" s="341"/>
      <c r="O1251" s="338">
        <f t="shared" si="583"/>
        <v>0</v>
      </c>
      <c r="P1251" s="341"/>
      <c r="Q1251" s="431"/>
      <c r="T1251" s="418"/>
    </row>
    <row r="1252" spans="3:20" ht="15" hidden="1" outlineLevel="2">
      <c r="C1252" s="1464"/>
      <c r="D1252" s="1464"/>
      <c r="E1252" s="1466"/>
      <c r="F1252" s="1468"/>
      <c r="G1252" s="343"/>
      <c r="H1252" s="335" t="s">
        <v>22</v>
      </c>
      <c r="I1252" s="341"/>
      <c r="J1252" s="341"/>
      <c r="K1252" s="341"/>
      <c r="L1252" s="341"/>
      <c r="M1252" s="342"/>
      <c r="N1252" s="341"/>
      <c r="O1252" s="338">
        <f t="shared" si="583"/>
        <v>0</v>
      </c>
      <c r="P1252" s="341"/>
      <c r="Q1252" s="431"/>
      <c r="T1252" s="418"/>
    </row>
    <row r="1253" spans="3:20" ht="15" hidden="1" outlineLevel="2">
      <c r="C1253" s="1464"/>
      <c r="D1253" s="1464"/>
      <c r="E1253" s="1466"/>
      <c r="F1253" s="1468"/>
      <c r="G1253" s="344"/>
      <c r="H1253" s="335" t="s">
        <v>22</v>
      </c>
      <c r="I1253" s="345"/>
      <c r="J1253" s="345"/>
      <c r="K1253" s="345"/>
      <c r="L1253" s="345"/>
      <c r="M1253" s="346"/>
      <c r="N1253" s="345"/>
      <c r="O1253" s="338">
        <f t="shared" si="583"/>
        <v>0</v>
      </c>
      <c r="P1253" s="345"/>
      <c r="Q1253" s="432"/>
      <c r="T1253" s="418"/>
    </row>
    <row r="1254" spans="3:20" ht="15" hidden="1" outlineLevel="2">
      <c r="C1254" s="1464"/>
      <c r="D1254" s="1464"/>
      <c r="E1254" s="1466"/>
      <c r="F1254" s="1468"/>
      <c r="G1254" s="343"/>
      <c r="H1254" s="335" t="s">
        <v>22</v>
      </c>
      <c r="I1254" s="341"/>
      <c r="J1254" s="341"/>
      <c r="K1254" s="341"/>
      <c r="L1254" s="341"/>
      <c r="M1254" s="342"/>
      <c r="N1254" s="341"/>
      <c r="O1254" s="338">
        <f t="shared" si="583"/>
        <v>0</v>
      </c>
      <c r="P1254" s="341"/>
      <c r="Q1254" s="431"/>
      <c r="T1254" s="418"/>
    </row>
    <row r="1255" spans="3:20" ht="15" hidden="1" outlineLevel="2">
      <c r="C1255" s="1464"/>
      <c r="D1255" s="1464"/>
      <c r="E1255" s="1466"/>
      <c r="F1255" s="1468"/>
      <c r="G1255" s="1470" t="s">
        <v>44</v>
      </c>
      <c r="H1255" s="1471"/>
      <c r="I1255" s="347">
        <f>SUM(I1245:I1254)</f>
        <v>0</v>
      </c>
      <c r="J1255" s="347">
        <f t="shared" ref="J1255:K1255" si="595">SUM(J1245:J1254)</f>
        <v>0</v>
      </c>
      <c r="K1255" s="347">
        <f t="shared" si="595"/>
        <v>0</v>
      </c>
      <c r="L1255" s="347">
        <f t="shared" ref="L1255" si="596">SUM(L1245:L1254)</f>
        <v>0</v>
      </c>
      <c r="M1255" s="348"/>
      <c r="N1255" s="347">
        <f>N1245</f>
        <v>0</v>
      </c>
      <c r="O1255" s="349">
        <f t="shared" si="583"/>
        <v>0</v>
      </c>
      <c r="P1255" s="347">
        <f t="shared" ref="P1255:Q1255" si="597">SUM(P1245:P1254)</f>
        <v>0</v>
      </c>
      <c r="Q1255" s="433">
        <f t="shared" si="597"/>
        <v>0</v>
      </c>
      <c r="T1255" s="418"/>
    </row>
    <row r="1256" spans="3:20" ht="15" outlineLevel="1" collapsed="1">
      <c r="C1256" s="1464"/>
      <c r="D1256" s="1464"/>
      <c r="E1256" s="1466"/>
      <c r="F1256" s="1469"/>
      <c r="G1256" s="1470" t="s">
        <v>177</v>
      </c>
      <c r="H1256" s="1471"/>
      <c r="I1256" s="347">
        <f>(I1233/usdrate)+(I1244*jodrate)+I1255</f>
        <v>0</v>
      </c>
      <c r="J1256" s="347">
        <f>(J1233/usdrate)+(J1244*jodrate)+J1255</f>
        <v>0</v>
      </c>
      <c r="K1256" s="347">
        <f>(K1233/usdrate)+(K1244*jodrate)+K1255</f>
        <v>0</v>
      </c>
      <c r="L1256" s="347">
        <f>(L1233/usdrate)+(L1244*jodrate)+L1255</f>
        <v>0</v>
      </c>
      <c r="M1256" s="348"/>
      <c r="N1256" s="347">
        <f>(N1233/usdrate)+(N1244*jodrate)+N1255</f>
        <v>0</v>
      </c>
      <c r="O1256" s="349">
        <f t="shared" si="583"/>
        <v>0</v>
      </c>
      <c r="P1256" s="347">
        <f>(P1233/usdrate)+(P1244*jodrate)+P1255</f>
        <v>0</v>
      </c>
      <c r="Q1256" s="433">
        <f>(Q1233/usdrate)+(Q1244*jodrate)+Q1255</f>
        <v>0</v>
      </c>
      <c r="T1256" s="418"/>
    </row>
    <row r="1257" spans="3:20" ht="15" hidden="1" outlineLevel="2">
      <c r="C1257" s="1464"/>
      <c r="D1257" s="1464"/>
      <c r="E1257" s="1466"/>
      <c r="F1257" s="1472" t="s">
        <v>172</v>
      </c>
      <c r="G1257" s="350"/>
      <c r="H1257" s="335" t="s">
        <v>28</v>
      </c>
      <c r="I1257" s="336"/>
      <c r="J1257" s="336"/>
      <c r="K1257" s="336"/>
      <c r="L1257" s="336"/>
      <c r="M1257" s="337"/>
      <c r="N1257" s="336"/>
      <c r="O1257" s="338">
        <f t="shared" ref="O1257:O1279" si="598">IF(N1257=0,0,N1257/I1257)</f>
        <v>0</v>
      </c>
      <c r="P1257" s="336"/>
      <c r="Q1257" s="430"/>
      <c r="T1257" s="418"/>
    </row>
    <row r="1258" spans="3:20" ht="15" hidden="1" outlineLevel="2">
      <c r="C1258" s="1464"/>
      <c r="D1258" s="1464"/>
      <c r="E1258" s="1466"/>
      <c r="F1258" s="1468"/>
      <c r="G1258" s="343"/>
      <c r="H1258" s="335" t="s">
        <v>28</v>
      </c>
      <c r="I1258" s="341"/>
      <c r="J1258" s="341"/>
      <c r="K1258" s="341"/>
      <c r="L1258" s="341"/>
      <c r="M1258" s="342"/>
      <c r="N1258" s="341"/>
      <c r="O1258" s="338">
        <f t="shared" si="598"/>
        <v>0</v>
      </c>
      <c r="P1258" s="341"/>
      <c r="Q1258" s="431"/>
      <c r="T1258" s="418"/>
    </row>
    <row r="1259" spans="3:20" ht="15" hidden="1" outlineLevel="2">
      <c r="C1259" s="1464"/>
      <c r="D1259" s="1464"/>
      <c r="E1259" s="1466"/>
      <c r="F1259" s="1468"/>
      <c r="G1259" s="343"/>
      <c r="H1259" s="335" t="s">
        <v>28</v>
      </c>
      <c r="I1259" s="341"/>
      <c r="J1259" s="341"/>
      <c r="K1259" s="341"/>
      <c r="L1259" s="341"/>
      <c r="M1259" s="337"/>
      <c r="N1259" s="341"/>
      <c r="O1259" s="338">
        <f t="shared" si="598"/>
        <v>0</v>
      </c>
      <c r="P1259" s="341"/>
      <c r="Q1259" s="431"/>
      <c r="T1259" s="418"/>
    </row>
    <row r="1260" spans="3:20" ht="15" hidden="1" outlineLevel="2">
      <c r="C1260" s="1464"/>
      <c r="D1260" s="1464"/>
      <c r="E1260" s="1466"/>
      <c r="F1260" s="1468"/>
      <c r="G1260" s="343"/>
      <c r="H1260" s="335" t="s">
        <v>28</v>
      </c>
      <c r="I1260" s="341"/>
      <c r="J1260" s="341"/>
      <c r="K1260" s="341"/>
      <c r="L1260" s="341"/>
      <c r="M1260" s="342"/>
      <c r="N1260" s="341"/>
      <c r="O1260" s="338">
        <f t="shared" si="598"/>
        <v>0</v>
      </c>
      <c r="P1260" s="341"/>
      <c r="Q1260" s="431"/>
      <c r="T1260" s="418"/>
    </row>
    <row r="1261" spans="3:20" ht="15" hidden="1" outlineLevel="2">
      <c r="C1261" s="1464"/>
      <c r="D1261" s="1464"/>
      <c r="E1261" s="1466"/>
      <c r="F1261" s="1468"/>
      <c r="G1261" s="343"/>
      <c r="H1261" s="335" t="s">
        <v>28</v>
      </c>
      <c r="I1261" s="341"/>
      <c r="J1261" s="341"/>
      <c r="K1261" s="341"/>
      <c r="L1261" s="341"/>
      <c r="M1261" s="342"/>
      <c r="N1261" s="341"/>
      <c r="O1261" s="338">
        <f t="shared" si="598"/>
        <v>0</v>
      </c>
      <c r="P1261" s="341"/>
      <c r="Q1261" s="431"/>
      <c r="T1261" s="418"/>
    </row>
    <row r="1262" spans="3:20" ht="15" hidden="1" outlineLevel="2">
      <c r="C1262" s="1464"/>
      <c r="D1262" s="1464"/>
      <c r="E1262" s="1466"/>
      <c r="F1262" s="1468"/>
      <c r="G1262" s="343"/>
      <c r="H1262" s="335" t="s">
        <v>28</v>
      </c>
      <c r="I1262" s="341"/>
      <c r="J1262" s="341"/>
      <c r="K1262" s="341"/>
      <c r="L1262" s="341"/>
      <c r="M1262" s="342"/>
      <c r="N1262" s="341"/>
      <c r="O1262" s="338">
        <f t="shared" si="598"/>
        <v>0</v>
      </c>
      <c r="P1262" s="341"/>
      <c r="Q1262" s="431"/>
      <c r="T1262" s="418"/>
    </row>
    <row r="1263" spans="3:20" ht="15" hidden="1" outlineLevel="2">
      <c r="C1263" s="1464"/>
      <c r="D1263" s="1464"/>
      <c r="E1263" s="1466"/>
      <c r="F1263" s="1468"/>
      <c r="G1263" s="343"/>
      <c r="H1263" s="335" t="s">
        <v>28</v>
      </c>
      <c r="I1263" s="341"/>
      <c r="J1263" s="341"/>
      <c r="K1263" s="341"/>
      <c r="L1263" s="341"/>
      <c r="M1263" s="342"/>
      <c r="N1263" s="341"/>
      <c r="O1263" s="338">
        <f t="shared" si="598"/>
        <v>0</v>
      </c>
      <c r="P1263" s="341"/>
      <c r="Q1263" s="431"/>
      <c r="T1263" s="418"/>
    </row>
    <row r="1264" spans="3:20" ht="15" hidden="1" outlineLevel="2">
      <c r="C1264" s="1464"/>
      <c r="D1264" s="1464"/>
      <c r="E1264" s="1466"/>
      <c r="F1264" s="1468"/>
      <c r="G1264" s="343"/>
      <c r="H1264" s="335" t="s">
        <v>28</v>
      </c>
      <c r="I1264" s="341"/>
      <c r="J1264" s="341"/>
      <c r="K1264" s="341"/>
      <c r="L1264" s="341"/>
      <c r="M1264" s="342"/>
      <c r="N1264" s="341"/>
      <c r="O1264" s="338">
        <f t="shared" si="598"/>
        <v>0</v>
      </c>
      <c r="P1264" s="341"/>
      <c r="Q1264" s="431"/>
      <c r="T1264" s="418"/>
    </row>
    <row r="1265" spans="3:20" ht="15" hidden="1" outlineLevel="2">
      <c r="C1265" s="1464"/>
      <c r="D1265" s="1464"/>
      <c r="E1265" s="1466"/>
      <c r="F1265" s="1468"/>
      <c r="G1265" s="344"/>
      <c r="H1265" s="335" t="s">
        <v>28</v>
      </c>
      <c r="I1265" s="345"/>
      <c r="J1265" s="345"/>
      <c r="K1265" s="345"/>
      <c r="L1265" s="345"/>
      <c r="M1265" s="346"/>
      <c r="N1265" s="345"/>
      <c r="O1265" s="338">
        <f t="shared" si="598"/>
        <v>0</v>
      </c>
      <c r="P1265" s="345"/>
      <c r="Q1265" s="432"/>
      <c r="T1265" s="418"/>
    </row>
    <row r="1266" spans="3:20" ht="15" hidden="1" outlineLevel="2">
      <c r="C1266" s="1464"/>
      <c r="D1266" s="1464"/>
      <c r="E1266" s="1466"/>
      <c r="F1266" s="1468"/>
      <c r="G1266" s="343"/>
      <c r="H1266" s="335" t="s">
        <v>28</v>
      </c>
      <c r="I1266" s="341"/>
      <c r="J1266" s="341"/>
      <c r="K1266" s="341"/>
      <c r="L1266" s="341"/>
      <c r="M1266" s="342"/>
      <c r="N1266" s="341"/>
      <c r="O1266" s="338">
        <f t="shared" si="598"/>
        <v>0</v>
      </c>
      <c r="P1266" s="341"/>
      <c r="Q1266" s="431"/>
      <c r="T1266" s="418"/>
    </row>
    <row r="1267" spans="3:20" ht="15" hidden="1" outlineLevel="2">
      <c r="C1267" s="1464"/>
      <c r="D1267" s="1464"/>
      <c r="E1267" s="1466"/>
      <c r="F1267" s="1468"/>
      <c r="G1267" s="1470" t="s">
        <v>51</v>
      </c>
      <c r="H1267" s="1471"/>
      <c r="I1267" s="347">
        <f>SUM(I1257:I1266)</f>
        <v>0</v>
      </c>
      <c r="J1267" s="347">
        <f t="shared" ref="J1267:K1267" si="599">SUM(J1257:J1266)</f>
        <v>0</v>
      </c>
      <c r="K1267" s="347">
        <f t="shared" si="599"/>
        <v>0</v>
      </c>
      <c r="L1267" s="347">
        <f t="shared" ref="L1267" si="600">SUM(L1257:L1266)</f>
        <v>0</v>
      </c>
      <c r="M1267" s="348"/>
      <c r="N1267" s="347">
        <f>N1257</f>
        <v>0</v>
      </c>
      <c r="O1267" s="349">
        <f t="shared" si="598"/>
        <v>0</v>
      </c>
      <c r="P1267" s="347">
        <f t="shared" ref="P1267:Q1267" si="601">SUM(P1257:P1266)</f>
        <v>0</v>
      </c>
      <c r="Q1267" s="433">
        <f t="shared" si="601"/>
        <v>0</v>
      </c>
      <c r="T1267" s="418"/>
    </row>
    <row r="1268" spans="3:20" ht="15" hidden="1" outlineLevel="2">
      <c r="C1268" s="1464"/>
      <c r="D1268" s="1464"/>
      <c r="E1268" s="1466"/>
      <c r="F1268" s="1468"/>
      <c r="G1268" s="350"/>
      <c r="H1268" s="335" t="s">
        <v>22</v>
      </c>
      <c r="I1268" s="336"/>
      <c r="J1268" s="336"/>
      <c r="K1268" s="336"/>
      <c r="L1268" s="336"/>
      <c r="M1268" s="337"/>
      <c r="N1268" s="336"/>
      <c r="O1268" s="338">
        <f t="shared" si="598"/>
        <v>0</v>
      </c>
      <c r="P1268" s="336"/>
      <c r="Q1268" s="430"/>
      <c r="T1268" s="418"/>
    </row>
    <row r="1269" spans="3:20" ht="15" hidden="1" outlineLevel="2">
      <c r="C1269" s="1464"/>
      <c r="D1269" s="1464"/>
      <c r="E1269" s="1466"/>
      <c r="F1269" s="1468"/>
      <c r="G1269" s="343"/>
      <c r="H1269" s="335" t="s">
        <v>22</v>
      </c>
      <c r="I1269" s="341"/>
      <c r="J1269" s="341"/>
      <c r="K1269" s="341"/>
      <c r="L1269" s="341"/>
      <c r="M1269" s="342"/>
      <c r="N1269" s="341"/>
      <c r="O1269" s="338">
        <f t="shared" si="598"/>
        <v>0</v>
      </c>
      <c r="P1269" s="341"/>
      <c r="Q1269" s="431"/>
      <c r="T1269" s="418"/>
    </row>
    <row r="1270" spans="3:20" ht="15" hidden="1" outlineLevel="2">
      <c r="C1270" s="1464"/>
      <c r="D1270" s="1464"/>
      <c r="E1270" s="1466"/>
      <c r="F1270" s="1468"/>
      <c r="G1270" s="343"/>
      <c r="H1270" s="335" t="s">
        <v>22</v>
      </c>
      <c r="I1270" s="341"/>
      <c r="J1270" s="341"/>
      <c r="K1270" s="341"/>
      <c r="L1270" s="341"/>
      <c r="M1270" s="337"/>
      <c r="N1270" s="341"/>
      <c r="O1270" s="338">
        <f t="shared" si="598"/>
        <v>0</v>
      </c>
      <c r="P1270" s="341"/>
      <c r="Q1270" s="431"/>
      <c r="T1270" s="418"/>
    </row>
    <row r="1271" spans="3:20" ht="15" hidden="1" outlineLevel="2">
      <c r="C1271" s="1464"/>
      <c r="D1271" s="1464"/>
      <c r="E1271" s="1466"/>
      <c r="F1271" s="1468"/>
      <c r="G1271" s="343"/>
      <c r="H1271" s="335" t="s">
        <v>22</v>
      </c>
      <c r="I1271" s="341"/>
      <c r="J1271" s="341"/>
      <c r="K1271" s="341"/>
      <c r="L1271" s="341"/>
      <c r="M1271" s="342"/>
      <c r="N1271" s="341"/>
      <c r="O1271" s="338">
        <f t="shared" si="598"/>
        <v>0</v>
      </c>
      <c r="P1271" s="341"/>
      <c r="Q1271" s="431"/>
      <c r="T1271" s="418"/>
    </row>
    <row r="1272" spans="3:20" ht="15" hidden="1" outlineLevel="2">
      <c r="C1272" s="1464"/>
      <c r="D1272" s="1464"/>
      <c r="E1272" s="1466"/>
      <c r="F1272" s="1468"/>
      <c r="G1272" s="343"/>
      <c r="H1272" s="335" t="s">
        <v>22</v>
      </c>
      <c r="I1272" s="341"/>
      <c r="J1272" s="341"/>
      <c r="K1272" s="341"/>
      <c r="L1272" s="341"/>
      <c r="M1272" s="342"/>
      <c r="N1272" s="341"/>
      <c r="O1272" s="338">
        <f t="shared" si="598"/>
        <v>0</v>
      </c>
      <c r="P1272" s="341"/>
      <c r="Q1272" s="431"/>
      <c r="T1272" s="418"/>
    </row>
    <row r="1273" spans="3:20" ht="15" hidden="1" outlineLevel="2">
      <c r="C1273" s="1464"/>
      <c r="D1273" s="1464"/>
      <c r="E1273" s="1466"/>
      <c r="F1273" s="1468"/>
      <c r="G1273" s="343"/>
      <c r="H1273" s="335" t="s">
        <v>22</v>
      </c>
      <c r="I1273" s="341"/>
      <c r="J1273" s="341"/>
      <c r="K1273" s="341"/>
      <c r="L1273" s="341"/>
      <c r="M1273" s="342"/>
      <c r="N1273" s="341"/>
      <c r="O1273" s="338">
        <f t="shared" si="598"/>
        <v>0</v>
      </c>
      <c r="P1273" s="341"/>
      <c r="Q1273" s="431"/>
      <c r="T1273" s="418"/>
    </row>
    <row r="1274" spans="3:20" ht="15" hidden="1" outlineLevel="2">
      <c r="C1274" s="1464"/>
      <c r="D1274" s="1464"/>
      <c r="E1274" s="1466"/>
      <c r="F1274" s="1468"/>
      <c r="G1274" s="343"/>
      <c r="H1274" s="335" t="s">
        <v>22</v>
      </c>
      <c r="I1274" s="341"/>
      <c r="J1274" s="341"/>
      <c r="K1274" s="341"/>
      <c r="L1274" s="341"/>
      <c r="M1274" s="342"/>
      <c r="N1274" s="341"/>
      <c r="O1274" s="338">
        <f t="shared" si="598"/>
        <v>0</v>
      </c>
      <c r="P1274" s="341"/>
      <c r="Q1274" s="431"/>
      <c r="T1274" s="418"/>
    </row>
    <row r="1275" spans="3:20" ht="15" hidden="1" outlineLevel="2">
      <c r="C1275" s="1464"/>
      <c r="D1275" s="1464"/>
      <c r="E1275" s="1466"/>
      <c r="F1275" s="1468"/>
      <c r="G1275" s="343"/>
      <c r="H1275" s="335" t="s">
        <v>22</v>
      </c>
      <c r="I1275" s="341"/>
      <c r="J1275" s="341"/>
      <c r="K1275" s="341"/>
      <c r="L1275" s="341"/>
      <c r="M1275" s="342"/>
      <c r="N1275" s="341"/>
      <c r="O1275" s="338">
        <f t="shared" si="598"/>
        <v>0</v>
      </c>
      <c r="P1275" s="341"/>
      <c r="Q1275" s="431"/>
      <c r="T1275" s="418"/>
    </row>
    <row r="1276" spans="3:20" ht="15" hidden="1" outlineLevel="2">
      <c r="C1276" s="1464"/>
      <c r="D1276" s="1464"/>
      <c r="E1276" s="1466"/>
      <c r="F1276" s="1468"/>
      <c r="G1276" s="344"/>
      <c r="H1276" s="335" t="s">
        <v>22</v>
      </c>
      <c r="I1276" s="345"/>
      <c r="J1276" s="345"/>
      <c r="K1276" s="345"/>
      <c r="L1276" s="345"/>
      <c r="M1276" s="346"/>
      <c r="N1276" s="345"/>
      <c r="O1276" s="338">
        <f t="shared" si="598"/>
        <v>0</v>
      </c>
      <c r="P1276" s="345"/>
      <c r="Q1276" s="432"/>
      <c r="T1276" s="418"/>
    </row>
    <row r="1277" spans="3:20" ht="15" hidden="1" outlineLevel="2">
      <c r="C1277" s="1464"/>
      <c r="D1277" s="1464"/>
      <c r="E1277" s="1466"/>
      <c r="F1277" s="1468"/>
      <c r="G1277" s="343"/>
      <c r="H1277" s="335" t="s">
        <v>22</v>
      </c>
      <c r="I1277" s="341"/>
      <c r="J1277" s="341"/>
      <c r="K1277" s="341"/>
      <c r="L1277" s="341"/>
      <c r="M1277" s="342"/>
      <c r="N1277" s="341"/>
      <c r="O1277" s="338">
        <f t="shared" si="598"/>
        <v>0</v>
      </c>
      <c r="P1277" s="341"/>
      <c r="Q1277" s="431"/>
      <c r="T1277" s="418"/>
    </row>
    <row r="1278" spans="3:20" ht="15" hidden="1" outlineLevel="2">
      <c r="C1278" s="1464"/>
      <c r="D1278" s="1464"/>
      <c r="E1278" s="1466"/>
      <c r="F1278" s="1468"/>
      <c r="G1278" s="1470" t="s">
        <v>44</v>
      </c>
      <c r="H1278" s="1471"/>
      <c r="I1278" s="347">
        <f>SUM(I1268:I1277)</f>
        <v>0</v>
      </c>
      <c r="J1278" s="347">
        <f t="shared" ref="J1278:K1278" si="602">SUM(J1268:J1277)</f>
        <v>0</v>
      </c>
      <c r="K1278" s="347">
        <f t="shared" si="602"/>
        <v>0</v>
      </c>
      <c r="L1278" s="347">
        <f t="shared" ref="L1278" si="603">SUM(L1268:L1277)</f>
        <v>0</v>
      </c>
      <c r="M1278" s="348"/>
      <c r="N1278" s="347">
        <f>N1268</f>
        <v>0</v>
      </c>
      <c r="O1278" s="349">
        <f t="shared" si="598"/>
        <v>0</v>
      </c>
      <c r="P1278" s="347">
        <f t="shared" ref="P1278:Q1278" si="604">SUM(P1268:P1277)</f>
        <v>0</v>
      </c>
      <c r="Q1278" s="433">
        <f t="shared" si="604"/>
        <v>0</v>
      </c>
      <c r="T1278" s="418"/>
    </row>
    <row r="1279" spans="3:20" ht="15" outlineLevel="1" collapsed="1">
      <c r="C1279" s="1464"/>
      <c r="D1279" s="1464"/>
      <c r="E1279" s="1466"/>
      <c r="F1279" s="1469"/>
      <c r="G1279" s="1470" t="s">
        <v>177</v>
      </c>
      <c r="H1279" s="1471"/>
      <c r="I1279" s="347">
        <f>(I1267*jodrate)+I1278</f>
        <v>0</v>
      </c>
      <c r="J1279" s="347">
        <f>(J1267*jodrate)+J1278</f>
        <v>0</v>
      </c>
      <c r="K1279" s="347">
        <f>(K1267*jodrate)+K1278</f>
        <v>0</v>
      </c>
      <c r="L1279" s="347">
        <f>(L1267*jodrate)+L1278</f>
        <v>0</v>
      </c>
      <c r="M1279" s="348"/>
      <c r="N1279" s="347">
        <f>(N1267*jodrate)+N1278</f>
        <v>0</v>
      </c>
      <c r="O1279" s="349">
        <f t="shared" si="598"/>
        <v>0</v>
      </c>
      <c r="P1279" s="347">
        <f>(P1267*jodrate)+P1278</f>
        <v>0</v>
      </c>
      <c r="Q1279" s="433">
        <f>(Q1267*jodrate)+Q1278</f>
        <v>0</v>
      </c>
      <c r="T1279" s="418"/>
    </row>
    <row r="1280" spans="3:20" ht="15">
      <c r="C1280" s="1464"/>
      <c r="D1280" s="1464"/>
      <c r="E1280" s="1467"/>
      <c r="F1280" s="1473" t="s">
        <v>175</v>
      </c>
      <c r="G1280" s="1474"/>
      <c r="H1280" s="1474"/>
      <c r="I1280" s="355">
        <f>I1188+I1222+I1256+I1279</f>
        <v>0</v>
      </c>
      <c r="J1280" s="355">
        <f t="shared" ref="J1280:K1280" si="605">J1188+J1222+J1256+J1279</f>
        <v>0</v>
      </c>
      <c r="K1280" s="355">
        <f t="shared" si="605"/>
        <v>0</v>
      </c>
      <c r="L1280" s="355">
        <f t="shared" ref="L1280" si="606">L1188+L1222+L1256+L1279</f>
        <v>0</v>
      </c>
      <c r="M1280" s="355"/>
      <c r="N1280" s="355">
        <f t="shared" ref="N1280" si="607">N1188+N1222+N1256+N1279</f>
        <v>0</v>
      </c>
      <c r="O1280" s="356">
        <f t="shared" ref="O1280:O1343" si="608">IF(N1280=0,0,N1280/J1280)</f>
        <v>0</v>
      </c>
      <c r="P1280" s="355">
        <f t="shared" ref="P1280:Q1280" si="609">P1188+P1222+P1256+P1279</f>
        <v>0</v>
      </c>
      <c r="Q1280" s="434">
        <f t="shared" si="609"/>
        <v>0</v>
      </c>
      <c r="T1280" s="418">
        <f>IF(H1155="USD",I1155*R1155,IF(H1155="ILS",(I1155*R1155/usdrate),IF(H1155="JOD",(I1155*R1155*jodrate),"")))</f>
        <v>0</v>
      </c>
    </row>
    <row r="1281" spans="3:20" ht="15" hidden="1" outlineLevel="2">
      <c r="C1281" s="1464"/>
      <c r="D1281" s="1464"/>
      <c r="E1281" s="1458" t="s">
        <v>168</v>
      </c>
      <c r="F1281" s="1461" t="s">
        <v>173</v>
      </c>
      <c r="G1281" s="350"/>
      <c r="H1281" s="335" t="s">
        <v>4</v>
      </c>
      <c r="I1281" s="336"/>
      <c r="J1281" s="336">
        <f>I1281</f>
        <v>0</v>
      </c>
      <c r="K1281" s="336">
        <v>0</v>
      </c>
      <c r="L1281" s="336">
        <v>0</v>
      </c>
      <c r="M1281" s="337"/>
      <c r="N1281" s="336"/>
      <c r="O1281" s="338">
        <f t="shared" si="608"/>
        <v>0</v>
      </c>
      <c r="P1281" s="336">
        <f t="shared" ref="P1281:Q1284" si="610">O1281</f>
        <v>0</v>
      </c>
      <c r="Q1281" s="430">
        <f t="shared" si="610"/>
        <v>0</v>
      </c>
      <c r="T1281" s="418"/>
    </row>
    <row r="1282" spans="3:20" ht="15" hidden="1" outlineLevel="2">
      <c r="C1282" s="1464"/>
      <c r="D1282" s="1464"/>
      <c r="E1282" s="1459"/>
      <c r="F1282" s="1462"/>
      <c r="G1282" s="343"/>
      <c r="H1282" s="340" t="s">
        <v>4</v>
      </c>
      <c r="I1282" s="341"/>
      <c r="J1282" s="336">
        <f>I1282</f>
        <v>0</v>
      </c>
      <c r="K1282" s="341">
        <v>0</v>
      </c>
      <c r="L1282" s="341">
        <v>0</v>
      </c>
      <c r="M1282" s="342"/>
      <c r="N1282" s="341"/>
      <c r="O1282" s="338">
        <f t="shared" si="608"/>
        <v>0</v>
      </c>
      <c r="P1282" s="336">
        <f t="shared" si="610"/>
        <v>0</v>
      </c>
      <c r="Q1282" s="430">
        <f t="shared" si="610"/>
        <v>0</v>
      </c>
      <c r="T1282" s="418"/>
    </row>
    <row r="1283" spans="3:20" ht="15" hidden="1" outlineLevel="2">
      <c r="C1283" s="1464"/>
      <c r="D1283" s="1464"/>
      <c r="E1283" s="1459"/>
      <c r="F1283" s="1462"/>
      <c r="G1283" s="343"/>
      <c r="H1283" s="340" t="s">
        <v>4</v>
      </c>
      <c r="I1283" s="341"/>
      <c r="J1283" s="336">
        <f>I1283</f>
        <v>0</v>
      </c>
      <c r="K1283" s="341">
        <v>0</v>
      </c>
      <c r="L1283" s="341">
        <v>0</v>
      </c>
      <c r="M1283" s="342"/>
      <c r="N1283" s="341"/>
      <c r="O1283" s="338">
        <f t="shared" si="608"/>
        <v>0</v>
      </c>
      <c r="P1283" s="336">
        <f t="shared" si="610"/>
        <v>0</v>
      </c>
      <c r="Q1283" s="430">
        <f t="shared" si="610"/>
        <v>0</v>
      </c>
      <c r="T1283" s="418"/>
    </row>
    <row r="1284" spans="3:20" ht="15" hidden="1" outlineLevel="2">
      <c r="C1284" s="1464"/>
      <c r="D1284" s="1464"/>
      <c r="E1284" s="1459"/>
      <c r="F1284" s="1462"/>
      <c r="G1284" s="343"/>
      <c r="H1284" s="340" t="s">
        <v>4</v>
      </c>
      <c r="I1284" s="341"/>
      <c r="J1284" s="336">
        <f>I1284</f>
        <v>0</v>
      </c>
      <c r="K1284" s="341">
        <v>0</v>
      </c>
      <c r="L1284" s="341">
        <v>0</v>
      </c>
      <c r="M1284" s="342"/>
      <c r="N1284" s="341"/>
      <c r="O1284" s="357">
        <f t="shared" si="608"/>
        <v>0</v>
      </c>
      <c r="P1284" s="336">
        <f t="shared" si="610"/>
        <v>0</v>
      </c>
      <c r="Q1284" s="430">
        <f t="shared" si="610"/>
        <v>0</v>
      </c>
      <c r="T1284" s="418"/>
    </row>
    <row r="1285" spans="3:20" ht="15" hidden="1" outlineLevel="2">
      <c r="C1285" s="1464"/>
      <c r="D1285" s="1464"/>
      <c r="E1285" s="1459"/>
      <c r="F1285" s="1462"/>
      <c r="G1285" s="343"/>
      <c r="H1285" s="340" t="s">
        <v>4</v>
      </c>
      <c r="I1285" s="341"/>
      <c r="J1285" s="336">
        <f t="shared" ref="J1285:J1308" si="611">I1285</f>
        <v>0</v>
      </c>
      <c r="K1285" s="341">
        <v>0</v>
      </c>
      <c r="L1285" s="341">
        <v>0</v>
      </c>
      <c r="M1285" s="342"/>
      <c r="N1285" s="341"/>
      <c r="O1285" s="358">
        <f t="shared" si="608"/>
        <v>0</v>
      </c>
      <c r="P1285" s="336">
        <f t="shared" ref="P1285:Q1308" si="612">O1285</f>
        <v>0</v>
      </c>
      <c r="Q1285" s="430">
        <f t="shared" si="612"/>
        <v>0</v>
      </c>
      <c r="T1285" s="418"/>
    </row>
    <row r="1286" spans="3:20" ht="15" hidden="1" outlineLevel="2">
      <c r="C1286" s="1464"/>
      <c r="D1286" s="1464"/>
      <c r="E1286" s="1459"/>
      <c r="F1286" s="1462"/>
      <c r="G1286" s="343"/>
      <c r="H1286" s="340" t="s">
        <v>4</v>
      </c>
      <c r="I1286" s="341"/>
      <c r="J1286" s="336">
        <f t="shared" si="611"/>
        <v>0</v>
      </c>
      <c r="K1286" s="341">
        <v>0</v>
      </c>
      <c r="L1286" s="341">
        <v>0</v>
      </c>
      <c r="M1286" s="342"/>
      <c r="N1286" s="341"/>
      <c r="O1286" s="338">
        <f t="shared" si="608"/>
        <v>0</v>
      </c>
      <c r="P1286" s="336">
        <f t="shared" si="612"/>
        <v>0</v>
      </c>
      <c r="Q1286" s="430">
        <f t="shared" si="612"/>
        <v>0</v>
      </c>
      <c r="T1286" s="418"/>
    </row>
    <row r="1287" spans="3:20" ht="15" hidden="1" outlineLevel="2">
      <c r="C1287" s="1464"/>
      <c r="D1287" s="1464"/>
      <c r="E1287" s="1459"/>
      <c r="F1287" s="1462"/>
      <c r="G1287" s="343"/>
      <c r="H1287" s="340" t="s">
        <v>4</v>
      </c>
      <c r="I1287" s="341"/>
      <c r="J1287" s="336">
        <f t="shared" si="611"/>
        <v>0</v>
      </c>
      <c r="K1287" s="341">
        <v>0</v>
      </c>
      <c r="L1287" s="341">
        <v>0</v>
      </c>
      <c r="M1287" s="342"/>
      <c r="N1287" s="341"/>
      <c r="O1287" s="338">
        <f t="shared" si="608"/>
        <v>0</v>
      </c>
      <c r="P1287" s="336">
        <f t="shared" si="612"/>
        <v>0</v>
      </c>
      <c r="Q1287" s="430">
        <f t="shared" si="612"/>
        <v>0</v>
      </c>
      <c r="T1287" s="418"/>
    </row>
    <row r="1288" spans="3:20" ht="15" hidden="1" outlineLevel="2">
      <c r="C1288" s="1464"/>
      <c r="D1288" s="1464"/>
      <c r="E1288" s="1459"/>
      <c r="F1288" s="1462"/>
      <c r="G1288" s="343"/>
      <c r="H1288" s="340" t="s">
        <v>4</v>
      </c>
      <c r="I1288" s="341"/>
      <c r="J1288" s="336">
        <f t="shared" si="611"/>
        <v>0</v>
      </c>
      <c r="K1288" s="341">
        <v>0</v>
      </c>
      <c r="L1288" s="341">
        <v>0</v>
      </c>
      <c r="M1288" s="342"/>
      <c r="N1288" s="341"/>
      <c r="O1288" s="338">
        <f t="shared" si="608"/>
        <v>0</v>
      </c>
      <c r="P1288" s="336">
        <f t="shared" si="612"/>
        <v>0</v>
      </c>
      <c r="Q1288" s="430">
        <f t="shared" si="612"/>
        <v>0</v>
      </c>
      <c r="T1288" s="418"/>
    </row>
    <row r="1289" spans="3:20" ht="15" hidden="1" outlineLevel="2">
      <c r="C1289" s="1464"/>
      <c r="D1289" s="1464"/>
      <c r="E1289" s="1459"/>
      <c r="F1289" s="1462"/>
      <c r="G1289" s="343"/>
      <c r="H1289" s="340" t="s">
        <v>4</v>
      </c>
      <c r="I1289" s="341"/>
      <c r="J1289" s="336">
        <f t="shared" si="611"/>
        <v>0</v>
      </c>
      <c r="K1289" s="341">
        <v>0</v>
      </c>
      <c r="L1289" s="341">
        <v>0</v>
      </c>
      <c r="M1289" s="342"/>
      <c r="N1289" s="341"/>
      <c r="O1289" s="338">
        <f t="shared" si="608"/>
        <v>0</v>
      </c>
      <c r="P1289" s="336">
        <f t="shared" si="612"/>
        <v>0</v>
      </c>
      <c r="Q1289" s="430">
        <f t="shared" si="612"/>
        <v>0</v>
      </c>
      <c r="T1289" s="418"/>
    </row>
    <row r="1290" spans="3:20" ht="15" hidden="1" outlineLevel="2">
      <c r="C1290" s="1464"/>
      <c r="D1290" s="1464"/>
      <c r="E1290" s="1459"/>
      <c r="F1290" s="1462"/>
      <c r="G1290" s="343"/>
      <c r="H1290" s="340" t="s">
        <v>4</v>
      </c>
      <c r="I1290" s="341"/>
      <c r="J1290" s="336">
        <f t="shared" si="611"/>
        <v>0</v>
      </c>
      <c r="K1290" s="341">
        <v>0</v>
      </c>
      <c r="L1290" s="341">
        <v>0</v>
      </c>
      <c r="M1290" s="342"/>
      <c r="N1290" s="341"/>
      <c r="O1290" s="338">
        <f t="shared" si="608"/>
        <v>0</v>
      </c>
      <c r="P1290" s="336">
        <f t="shared" si="612"/>
        <v>0</v>
      </c>
      <c r="Q1290" s="430">
        <f t="shared" si="612"/>
        <v>0</v>
      </c>
      <c r="T1290" s="418"/>
    </row>
    <row r="1291" spans="3:20" ht="15" hidden="1" outlineLevel="2">
      <c r="C1291" s="1464"/>
      <c r="D1291" s="1464"/>
      <c r="E1291" s="1459"/>
      <c r="F1291" s="1462"/>
      <c r="G1291" s="343"/>
      <c r="H1291" s="340" t="s">
        <v>4</v>
      </c>
      <c r="I1291" s="341"/>
      <c r="J1291" s="336">
        <f t="shared" si="611"/>
        <v>0</v>
      </c>
      <c r="K1291" s="341">
        <v>0</v>
      </c>
      <c r="L1291" s="341">
        <v>0</v>
      </c>
      <c r="M1291" s="342"/>
      <c r="N1291" s="341"/>
      <c r="O1291" s="338">
        <f t="shared" si="608"/>
        <v>0</v>
      </c>
      <c r="P1291" s="336">
        <f t="shared" si="612"/>
        <v>0</v>
      </c>
      <c r="Q1291" s="430">
        <f t="shared" si="612"/>
        <v>0</v>
      </c>
      <c r="T1291" s="418"/>
    </row>
    <row r="1292" spans="3:20" ht="15" hidden="1" outlineLevel="2">
      <c r="C1292" s="1464"/>
      <c r="D1292" s="1464"/>
      <c r="E1292" s="1459"/>
      <c r="F1292" s="1462"/>
      <c r="G1292" s="343"/>
      <c r="H1292" s="340" t="s">
        <v>4</v>
      </c>
      <c r="I1292" s="341"/>
      <c r="J1292" s="336">
        <f t="shared" si="611"/>
        <v>0</v>
      </c>
      <c r="K1292" s="341">
        <v>0</v>
      </c>
      <c r="L1292" s="341">
        <v>0</v>
      </c>
      <c r="M1292" s="342"/>
      <c r="N1292" s="341"/>
      <c r="O1292" s="338">
        <f t="shared" si="608"/>
        <v>0</v>
      </c>
      <c r="P1292" s="336">
        <f t="shared" si="612"/>
        <v>0</v>
      </c>
      <c r="Q1292" s="430">
        <f t="shared" si="612"/>
        <v>0</v>
      </c>
      <c r="T1292" s="418"/>
    </row>
    <row r="1293" spans="3:20" ht="15" hidden="1" outlineLevel="2">
      <c r="C1293" s="1464"/>
      <c r="D1293" s="1464"/>
      <c r="E1293" s="1459"/>
      <c r="F1293" s="1462"/>
      <c r="G1293" s="343"/>
      <c r="H1293" s="340" t="s">
        <v>4</v>
      </c>
      <c r="I1293" s="341"/>
      <c r="J1293" s="336">
        <f t="shared" si="611"/>
        <v>0</v>
      </c>
      <c r="K1293" s="341">
        <v>0</v>
      </c>
      <c r="L1293" s="341">
        <v>0</v>
      </c>
      <c r="M1293" s="342"/>
      <c r="N1293" s="341"/>
      <c r="O1293" s="338">
        <f t="shared" si="608"/>
        <v>0</v>
      </c>
      <c r="P1293" s="336">
        <f t="shared" si="612"/>
        <v>0</v>
      </c>
      <c r="Q1293" s="430">
        <f t="shared" si="612"/>
        <v>0</v>
      </c>
      <c r="T1293" s="418"/>
    </row>
    <row r="1294" spans="3:20" ht="15" hidden="1" outlineLevel="2">
      <c r="C1294" s="1464"/>
      <c r="D1294" s="1464"/>
      <c r="E1294" s="1459"/>
      <c r="F1294" s="1462"/>
      <c r="G1294" s="343"/>
      <c r="H1294" s="340" t="s">
        <v>4</v>
      </c>
      <c r="I1294" s="341"/>
      <c r="J1294" s="336">
        <f t="shared" si="611"/>
        <v>0</v>
      </c>
      <c r="K1294" s="341">
        <v>0</v>
      </c>
      <c r="L1294" s="341">
        <v>0</v>
      </c>
      <c r="M1294" s="342"/>
      <c r="N1294" s="341"/>
      <c r="O1294" s="338">
        <f t="shared" si="608"/>
        <v>0</v>
      </c>
      <c r="P1294" s="336">
        <f t="shared" si="612"/>
        <v>0</v>
      </c>
      <c r="Q1294" s="430">
        <f t="shared" si="612"/>
        <v>0</v>
      </c>
      <c r="T1294" s="418"/>
    </row>
    <row r="1295" spans="3:20" ht="15" hidden="1" outlineLevel="2">
      <c r="C1295" s="1464"/>
      <c r="D1295" s="1464"/>
      <c r="E1295" s="1459"/>
      <c r="F1295" s="1462"/>
      <c r="G1295" s="343"/>
      <c r="H1295" s="340" t="s">
        <v>4</v>
      </c>
      <c r="I1295" s="341"/>
      <c r="J1295" s="336">
        <f t="shared" si="611"/>
        <v>0</v>
      </c>
      <c r="K1295" s="341">
        <v>0</v>
      </c>
      <c r="L1295" s="341">
        <v>0</v>
      </c>
      <c r="M1295" s="342"/>
      <c r="N1295" s="341"/>
      <c r="O1295" s="338">
        <f t="shared" si="608"/>
        <v>0</v>
      </c>
      <c r="P1295" s="336">
        <f t="shared" si="612"/>
        <v>0</v>
      </c>
      <c r="Q1295" s="430">
        <f t="shared" si="612"/>
        <v>0</v>
      </c>
      <c r="T1295" s="418"/>
    </row>
    <row r="1296" spans="3:20" ht="15" hidden="1" outlineLevel="2">
      <c r="C1296" s="1464"/>
      <c r="D1296" s="1464"/>
      <c r="E1296" s="1459"/>
      <c r="F1296" s="1462"/>
      <c r="G1296" s="343"/>
      <c r="H1296" s="340" t="s">
        <v>4</v>
      </c>
      <c r="I1296" s="341"/>
      <c r="J1296" s="336">
        <f t="shared" si="611"/>
        <v>0</v>
      </c>
      <c r="K1296" s="341">
        <v>0</v>
      </c>
      <c r="L1296" s="341">
        <v>0</v>
      </c>
      <c r="M1296" s="342"/>
      <c r="N1296" s="341"/>
      <c r="O1296" s="338">
        <f t="shared" si="608"/>
        <v>0</v>
      </c>
      <c r="P1296" s="336">
        <f t="shared" si="612"/>
        <v>0</v>
      </c>
      <c r="Q1296" s="430">
        <f t="shared" si="612"/>
        <v>0</v>
      </c>
      <c r="T1296" s="418"/>
    </row>
    <row r="1297" spans="3:20" ht="15" hidden="1" outlineLevel="2">
      <c r="C1297" s="1464"/>
      <c r="D1297" s="1464"/>
      <c r="E1297" s="1459"/>
      <c r="F1297" s="1462"/>
      <c r="G1297" s="343"/>
      <c r="H1297" s="340" t="s">
        <v>4</v>
      </c>
      <c r="I1297" s="341"/>
      <c r="J1297" s="336">
        <f t="shared" si="611"/>
        <v>0</v>
      </c>
      <c r="K1297" s="341">
        <v>0</v>
      </c>
      <c r="L1297" s="341">
        <v>0</v>
      </c>
      <c r="M1297" s="342"/>
      <c r="N1297" s="341"/>
      <c r="O1297" s="338">
        <f t="shared" si="608"/>
        <v>0</v>
      </c>
      <c r="P1297" s="336">
        <f t="shared" si="612"/>
        <v>0</v>
      </c>
      <c r="Q1297" s="430">
        <f t="shared" si="612"/>
        <v>0</v>
      </c>
      <c r="T1297" s="418"/>
    </row>
    <row r="1298" spans="3:20" ht="15" hidden="1" outlineLevel="2">
      <c r="C1298" s="1464"/>
      <c r="D1298" s="1464"/>
      <c r="E1298" s="1459"/>
      <c r="F1298" s="1462"/>
      <c r="G1298" s="343"/>
      <c r="H1298" s="340" t="s">
        <v>4</v>
      </c>
      <c r="I1298" s="341"/>
      <c r="J1298" s="336">
        <f t="shared" si="611"/>
        <v>0</v>
      </c>
      <c r="K1298" s="341">
        <v>0</v>
      </c>
      <c r="L1298" s="341">
        <v>0</v>
      </c>
      <c r="M1298" s="342"/>
      <c r="N1298" s="341"/>
      <c r="O1298" s="338">
        <f t="shared" si="608"/>
        <v>0</v>
      </c>
      <c r="P1298" s="336">
        <f t="shared" si="612"/>
        <v>0</v>
      </c>
      <c r="Q1298" s="430">
        <f t="shared" si="612"/>
        <v>0</v>
      </c>
      <c r="T1298" s="418"/>
    </row>
    <row r="1299" spans="3:20" ht="15" hidden="1" outlineLevel="2">
      <c r="C1299" s="1464"/>
      <c r="D1299" s="1464"/>
      <c r="E1299" s="1459"/>
      <c r="F1299" s="1462"/>
      <c r="G1299" s="343"/>
      <c r="H1299" s="340" t="s">
        <v>4</v>
      </c>
      <c r="I1299" s="341"/>
      <c r="J1299" s="336">
        <f t="shared" si="611"/>
        <v>0</v>
      </c>
      <c r="K1299" s="341">
        <v>0</v>
      </c>
      <c r="L1299" s="341">
        <v>0</v>
      </c>
      <c r="M1299" s="342"/>
      <c r="N1299" s="341"/>
      <c r="O1299" s="338">
        <f t="shared" si="608"/>
        <v>0</v>
      </c>
      <c r="P1299" s="336">
        <f t="shared" si="612"/>
        <v>0</v>
      </c>
      <c r="Q1299" s="430">
        <f t="shared" si="612"/>
        <v>0</v>
      </c>
      <c r="T1299" s="418"/>
    </row>
    <row r="1300" spans="3:20" ht="15" hidden="1" outlineLevel="2">
      <c r="C1300" s="1464"/>
      <c r="D1300" s="1464"/>
      <c r="E1300" s="1459"/>
      <c r="F1300" s="1462"/>
      <c r="G1300" s="343"/>
      <c r="H1300" s="340" t="s">
        <v>4</v>
      </c>
      <c r="I1300" s="341"/>
      <c r="J1300" s="336">
        <f t="shared" si="611"/>
        <v>0</v>
      </c>
      <c r="K1300" s="341">
        <v>0</v>
      </c>
      <c r="L1300" s="341">
        <v>0</v>
      </c>
      <c r="M1300" s="342"/>
      <c r="N1300" s="341"/>
      <c r="O1300" s="338">
        <f t="shared" si="608"/>
        <v>0</v>
      </c>
      <c r="P1300" s="336">
        <f t="shared" si="612"/>
        <v>0</v>
      </c>
      <c r="Q1300" s="430">
        <f t="shared" si="612"/>
        <v>0</v>
      </c>
      <c r="T1300" s="418"/>
    </row>
    <row r="1301" spans="3:20" ht="15" hidden="1" outlineLevel="2">
      <c r="C1301" s="1464"/>
      <c r="D1301" s="1464"/>
      <c r="E1301" s="1459"/>
      <c r="F1301" s="1462"/>
      <c r="G1301" s="343"/>
      <c r="H1301" s="340" t="s">
        <v>4</v>
      </c>
      <c r="I1301" s="341"/>
      <c r="J1301" s="336">
        <f t="shared" si="611"/>
        <v>0</v>
      </c>
      <c r="K1301" s="341">
        <v>0</v>
      </c>
      <c r="L1301" s="341">
        <v>0</v>
      </c>
      <c r="M1301" s="342"/>
      <c r="N1301" s="341"/>
      <c r="O1301" s="338">
        <f t="shared" si="608"/>
        <v>0</v>
      </c>
      <c r="P1301" s="336">
        <f t="shared" si="612"/>
        <v>0</v>
      </c>
      <c r="Q1301" s="430">
        <f t="shared" si="612"/>
        <v>0</v>
      </c>
      <c r="T1301" s="418"/>
    </row>
    <row r="1302" spans="3:20" ht="15" hidden="1" outlineLevel="2">
      <c r="C1302" s="1464"/>
      <c r="D1302" s="1464"/>
      <c r="E1302" s="1459"/>
      <c r="F1302" s="1462"/>
      <c r="G1302" s="343"/>
      <c r="H1302" s="340" t="s">
        <v>4</v>
      </c>
      <c r="I1302" s="341"/>
      <c r="J1302" s="336">
        <f t="shared" si="611"/>
        <v>0</v>
      </c>
      <c r="K1302" s="341">
        <v>0</v>
      </c>
      <c r="L1302" s="341">
        <v>0</v>
      </c>
      <c r="M1302" s="342"/>
      <c r="N1302" s="341"/>
      <c r="O1302" s="338">
        <f t="shared" si="608"/>
        <v>0</v>
      </c>
      <c r="P1302" s="336">
        <f t="shared" si="612"/>
        <v>0</v>
      </c>
      <c r="Q1302" s="430">
        <f t="shared" si="612"/>
        <v>0</v>
      </c>
      <c r="T1302" s="418"/>
    </row>
    <row r="1303" spans="3:20" ht="15" hidden="1" outlineLevel="2">
      <c r="C1303" s="1464"/>
      <c r="D1303" s="1464"/>
      <c r="E1303" s="1459"/>
      <c r="F1303" s="1462"/>
      <c r="G1303" s="343"/>
      <c r="H1303" s="340" t="s">
        <v>4</v>
      </c>
      <c r="I1303" s="341"/>
      <c r="J1303" s="336">
        <f t="shared" si="611"/>
        <v>0</v>
      </c>
      <c r="K1303" s="341">
        <v>0</v>
      </c>
      <c r="L1303" s="341">
        <v>0</v>
      </c>
      <c r="M1303" s="342"/>
      <c r="N1303" s="341"/>
      <c r="O1303" s="338">
        <f t="shared" si="608"/>
        <v>0</v>
      </c>
      <c r="P1303" s="336">
        <f t="shared" si="612"/>
        <v>0</v>
      </c>
      <c r="Q1303" s="430">
        <f t="shared" si="612"/>
        <v>0</v>
      </c>
      <c r="T1303" s="418"/>
    </row>
    <row r="1304" spans="3:20" ht="15" hidden="1" outlineLevel="2">
      <c r="C1304" s="1464"/>
      <c r="D1304" s="1464"/>
      <c r="E1304" s="1459"/>
      <c r="F1304" s="1462"/>
      <c r="G1304" s="343"/>
      <c r="H1304" s="340" t="s">
        <v>4</v>
      </c>
      <c r="I1304" s="341"/>
      <c r="J1304" s="336">
        <f t="shared" si="611"/>
        <v>0</v>
      </c>
      <c r="K1304" s="341">
        <v>0</v>
      </c>
      <c r="L1304" s="341">
        <v>0</v>
      </c>
      <c r="M1304" s="342"/>
      <c r="N1304" s="341"/>
      <c r="O1304" s="338">
        <f t="shared" si="608"/>
        <v>0</v>
      </c>
      <c r="P1304" s="336">
        <f t="shared" si="612"/>
        <v>0</v>
      </c>
      <c r="Q1304" s="430">
        <f t="shared" si="612"/>
        <v>0</v>
      </c>
      <c r="T1304" s="418"/>
    </row>
    <row r="1305" spans="3:20" ht="15" hidden="1" outlineLevel="2">
      <c r="C1305" s="1464"/>
      <c r="D1305" s="1464"/>
      <c r="E1305" s="1459"/>
      <c r="F1305" s="1462"/>
      <c r="G1305" s="343"/>
      <c r="H1305" s="340" t="s">
        <v>4</v>
      </c>
      <c r="I1305" s="341"/>
      <c r="J1305" s="336">
        <f t="shared" si="611"/>
        <v>0</v>
      </c>
      <c r="K1305" s="341">
        <v>0</v>
      </c>
      <c r="L1305" s="341">
        <v>0</v>
      </c>
      <c r="M1305" s="342"/>
      <c r="N1305" s="341"/>
      <c r="O1305" s="338">
        <f t="shared" si="608"/>
        <v>0</v>
      </c>
      <c r="P1305" s="336">
        <f t="shared" si="612"/>
        <v>0</v>
      </c>
      <c r="Q1305" s="430">
        <f t="shared" si="612"/>
        <v>0</v>
      </c>
      <c r="T1305" s="418"/>
    </row>
    <row r="1306" spans="3:20" ht="15" hidden="1" outlineLevel="2">
      <c r="C1306" s="1464"/>
      <c r="D1306" s="1464"/>
      <c r="E1306" s="1459"/>
      <c r="F1306" s="1462"/>
      <c r="G1306" s="343"/>
      <c r="H1306" s="340" t="s">
        <v>4</v>
      </c>
      <c r="I1306" s="341"/>
      <c r="J1306" s="336">
        <f t="shared" si="611"/>
        <v>0</v>
      </c>
      <c r="K1306" s="341">
        <v>0</v>
      </c>
      <c r="L1306" s="341">
        <v>0</v>
      </c>
      <c r="M1306" s="342"/>
      <c r="N1306" s="341"/>
      <c r="O1306" s="338">
        <f t="shared" si="608"/>
        <v>0</v>
      </c>
      <c r="P1306" s="336">
        <f t="shared" si="612"/>
        <v>0</v>
      </c>
      <c r="Q1306" s="430">
        <f t="shared" si="612"/>
        <v>0</v>
      </c>
      <c r="T1306" s="418"/>
    </row>
    <row r="1307" spans="3:20" ht="15" hidden="1" outlineLevel="2">
      <c r="C1307" s="1464"/>
      <c r="D1307" s="1464"/>
      <c r="E1307" s="1459"/>
      <c r="F1307" s="1462"/>
      <c r="G1307" s="343"/>
      <c r="H1307" s="340" t="s">
        <v>4</v>
      </c>
      <c r="I1307" s="341"/>
      <c r="J1307" s="336">
        <f t="shared" si="611"/>
        <v>0</v>
      </c>
      <c r="K1307" s="341">
        <v>0</v>
      </c>
      <c r="L1307" s="341">
        <v>0</v>
      </c>
      <c r="M1307" s="342"/>
      <c r="N1307" s="341"/>
      <c r="O1307" s="338">
        <f t="shared" si="608"/>
        <v>0</v>
      </c>
      <c r="P1307" s="336">
        <f t="shared" si="612"/>
        <v>0</v>
      </c>
      <c r="Q1307" s="430">
        <f t="shared" si="612"/>
        <v>0</v>
      </c>
      <c r="T1307" s="418"/>
    </row>
    <row r="1308" spans="3:20" ht="15" hidden="1" outlineLevel="2">
      <c r="C1308" s="1464"/>
      <c r="D1308" s="1464"/>
      <c r="E1308" s="1459"/>
      <c r="F1308" s="1462"/>
      <c r="G1308" s="343"/>
      <c r="H1308" s="340" t="s">
        <v>4</v>
      </c>
      <c r="I1308" s="341"/>
      <c r="J1308" s="336">
        <f t="shared" si="611"/>
        <v>0</v>
      </c>
      <c r="K1308" s="341">
        <v>0</v>
      </c>
      <c r="L1308" s="341">
        <v>0</v>
      </c>
      <c r="M1308" s="342"/>
      <c r="N1308" s="341"/>
      <c r="O1308" s="338">
        <f t="shared" si="608"/>
        <v>0</v>
      </c>
      <c r="P1308" s="336">
        <f t="shared" si="612"/>
        <v>0</v>
      </c>
      <c r="Q1308" s="430">
        <f t="shared" si="612"/>
        <v>0</v>
      </c>
      <c r="T1308" s="418"/>
    </row>
    <row r="1309" spans="3:20" ht="15" hidden="1" outlineLevel="2">
      <c r="C1309" s="1464"/>
      <c r="D1309" s="1464"/>
      <c r="E1309" s="1459"/>
      <c r="F1309" s="1462"/>
      <c r="G1309" s="1454" t="s">
        <v>45</v>
      </c>
      <c r="H1309" s="1455"/>
      <c r="I1309" s="359">
        <f>SUM(I1281:I1308)</f>
        <v>0</v>
      </c>
      <c r="J1309" s="359">
        <f>SUM(J1281:J1308)</f>
        <v>0</v>
      </c>
      <c r="K1309" s="359">
        <f>SUM(K1281:K1308)</f>
        <v>0</v>
      </c>
      <c r="L1309" s="359">
        <f>SUM(L1281:L1308)</f>
        <v>0</v>
      </c>
      <c r="M1309" s="360" t="s">
        <v>43</v>
      </c>
      <c r="N1309" s="359">
        <f>SUM(N1281:N1308)</f>
        <v>0</v>
      </c>
      <c r="O1309" s="361">
        <f t="shared" si="608"/>
        <v>0</v>
      </c>
      <c r="P1309" s="359">
        <f>SUM(P1281:P1308)</f>
        <v>0</v>
      </c>
      <c r="Q1309" s="435">
        <f>SUM(Q1281:Q1308)</f>
        <v>0</v>
      </c>
      <c r="T1309" s="418"/>
    </row>
    <row r="1310" spans="3:20" ht="15" hidden="1" outlineLevel="2">
      <c r="C1310" s="1464"/>
      <c r="D1310" s="1464"/>
      <c r="E1310" s="1459"/>
      <c r="F1310" s="1462"/>
      <c r="G1310" s="353"/>
      <c r="H1310" s="340" t="s">
        <v>29</v>
      </c>
      <c r="I1310" s="341"/>
      <c r="J1310" s="336"/>
      <c r="K1310" s="336"/>
      <c r="L1310" s="336"/>
      <c r="M1310" s="363"/>
      <c r="N1310" s="336"/>
      <c r="O1310" s="338">
        <f t="shared" si="608"/>
        <v>0</v>
      </c>
      <c r="P1310" s="336"/>
      <c r="Q1310" s="430"/>
      <c r="T1310" s="418"/>
    </row>
    <row r="1311" spans="3:20" ht="15" hidden="1" outlineLevel="2">
      <c r="C1311" s="1464"/>
      <c r="D1311" s="1464"/>
      <c r="E1311" s="1459"/>
      <c r="F1311" s="1462"/>
      <c r="G1311" s="353"/>
      <c r="H1311" s="340" t="s">
        <v>29</v>
      </c>
      <c r="I1311" s="341"/>
      <c r="J1311" s="336"/>
      <c r="K1311" s="336"/>
      <c r="L1311" s="336"/>
      <c r="M1311" s="363"/>
      <c r="N1311" s="336"/>
      <c r="O1311" s="338">
        <f t="shared" si="608"/>
        <v>0</v>
      </c>
      <c r="P1311" s="336"/>
      <c r="Q1311" s="430"/>
      <c r="T1311" s="418"/>
    </row>
    <row r="1312" spans="3:20" ht="15" hidden="1" outlineLevel="2">
      <c r="C1312" s="1464"/>
      <c r="D1312" s="1464"/>
      <c r="E1312" s="1459"/>
      <c r="F1312" s="1462"/>
      <c r="G1312" s="353"/>
      <c r="H1312" s="340" t="s">
        <v>29</v>
      </c>
      <c r="I1312" s="341"/>
      <c r="J1312" s="336"/>
      <c r="K1312" s="336"/>
      <c r="L1312" s="336"/>
      <c r="M1312" s="363"/>
      <c r="N1312" s="336"/>
      <c r="O1312" s="338">
        <f t="shared" si="608"/>
        <v>0</v>
      </c>
      <c r="P1312" s="336"/>
      <c r="Q1312" s="430"/>
      <c r="T1312" s="418"/>
    </row>
    <row r="1313" spans="3:20" ht="15" hidden="1" outlineLevel="2">
      <c r="C1313" s="1464"/>
      <c r="D1313" s="1464"/>
      <c r="E1313" s="1459"/>
      <c r="F1313" s="1462"/>
      <c r="G1313" s="353"/>
      <c r="H1313" s="340" t="s">
        <v>29</v>
      </c>
      <c r="I1313" s="341"/>
      <c r="J1313" s="336"/>
      <c r="K1313" s="336"/>
      <c r="L1313" s="336"/>
      <c r="M1313" s="363"/>
      <c r="N1313" s="336"/>
      <c r="O1313" s="338">
        <f t="shared" si="608"/>
        <v>0</v>
      </c>
      <c r="P1313" s="336"/>
      <c r="Q1313" s="430"/>
      <c r="T1313" s="418"/>
    </row>
    <row r="1314" spans="3:20" ht="15" hidden="1" outlineLevel="2">
      <c r="C1314" s="1464"/>
      <c r="D1314" s="1464"/>
      <c r="E1314" s="1459"/>
      <c r="F1314" s="1462"/>
      <c r="G1314" s="353"/>
      <c r="H1314" s="340" t="s">
        <v>29</v>
      </c>
      <c r="I1314" s="341"/>
      <c r="J1314" s="336"/>
      <c r="K1314" s="336"/>
      <c r="L1314" s="336"/>
      <c r="M1314" s="363"/>
      <c r="N1314" s="336"/>
      <c r="O1314" s="338">
        <f t="shared" si="608"/>
        <v>0</v>
      </c>
      <c r="P1314" s="336"/>
      <c r="Q1314" s="430"/>
      <c r="T1314" s="418"/>
    </row>
    <row r="1315" spans="3:20" ht="15" hidden="1" outlineLevel="2">
      <c r="C1315" s="1464"/>
      <c r="D1315" s="1464"/>
      <c r="E1315" s="1459"/>
      <c r="F1315" s="1462"/>
      <c r="G1315" s="353"/>
      <c r="H1315" s="340" t="s">
        <v>29</v>
      </c>
      <c r="I1315" s="341"/>
      <c r="J1315" s="336"/>
      <c r="K1315" s="336"/>
      <c r="L1315" s="336"/>
      <c r="M1315" s="363"/>
      <c r="N1315" s="336"/>
      <c r="O1315" s="338">
        <f t="shared" si="608"/>
        <v>0</v>
      </c>
      <c r="P1315" s="336"/>
      <c r="Q1315" s="430"/>
      <c r="T1315" s="418"/>
    </row>
    <row r="1316" spans="3:20" ht="15" hidden="1" outlineLevel="2">
      <c r="C1316" s="1464"/>
      <c r="D1316" s="1464"/>
      <c r="E1316" s="1459"/>
      <c r="F1316" s="1462"/>
      <c r="G1316" s="353"/>
      <c r="H1316" s="340" t="s">
        <v>29</v>
      </c>
      <c r="I1316" s="341"/>
      <c r="J1316" s="336"/>
      <c r="K1316" s="336"/>
      <c r="L1316" s="336"/>
      <c r="M1316" s="363"/>
      <c r="N1316" s="336"/>
      <c r="O1316" s="338">
        <f t="shared" si="608"/>
        <v>0</v>
      </c>
      <c r="P1316" s="336"/>
      <c r="Q1316" s="430"/>
      <c r="T1316" s="418"/>
    </row>
    <row r="1317" spans="3:20" ht="15" hidden="1" outlineLevel="2">
      <c r="C1317" s="1464"/>
      <c r="D1317" s="1464"/>
      <c r="E1317" s="1459"/>
      <c r="F1317" s="1462"/>
      <c r="G1317" s="353"/>
      <c r="H1317" s="340" t="s">
        <v>29</v>
      </c>
      <c r="I1317" s="341"/>
      <c r="J1317" s="336"/>
      <c r="K1317" s="336"/>
      <c r="L1317" s="336"/>
      <c r="M1317" s="363"/>
      <c r="N1317" s="336"/>
      <c r="O1317" s="338">
        <f t="shared" si="608"/>
        <v>0</v>
      </c>
      <c r="P1317" s="336"/>
      <c r="Q1317" s="430"/>
      <c r="T1317" s="418"/>
    </row>
    <row r="1318" spans="3:20" ht="15" hidden="1" outlineLevel="2">
      <c r="C1318" s="1464"/>
      <c r="D1318" s="1464"/>
      <c r="E1318" s="1459"/>
      <c r="F1318" s="1462"/>
      <c r="G1318" s="353"/>
      <c r="H1318" s="340" t="s">
        <v>29</v>
      </c>
      <c r="I1318" s="341"/>
      <c r="J1318" s="336"/>
      <c r="K1318" s="336"/>
      <c r="L1318" s="336"/>
      <c r="M1318" s="363"/>
      <c r="N1318" s="336"/>
      <c r="O1318" s="338">
        <f t="shared" si="608"/>
        <v>0</v>
      </c>
      <c r="P1318" s="336"/>
      <c r="Q1318" s="430"/>
      <c r="T1318" s="418"/>
    </row>
    <row r="1319" spans="3:20" ht="15" hidden="1" outlineLevel="2">
      <c r="C1319" s="1464"/>
      <c r="D1319" s="1464"/>
      <c r="E1319" s="1459"/>
      <c r="F1319" s="1462"/>
      <c r="G1319" s="353"/>
      <c r="H1319" s="340" t="s">
        <v>29</v>
      </c>
      <c r="I1319" s="341"/>
      <c r="J1319" s="336"/>
      <c r="K1319" s="336"/>
      <c r="L1319" s="336"/>
      <c r="M1319" s="363"/>
      <c r="N1319" s="336"/>
      <c r="O1319" s="338">
        <f t="shared" si="608"/>
        <v>0</v>
      </c>
      <c r="P1319" s="336"/>
      <c r="Q1319" s="430"/>
      <c r="T1319" s="418"/>
    </row>
    <row r="1320" spans="3:20" ht="15" hidden="1" outlineLevel="2">
      <c r="C1320" s="1464"/>
      <c r="D1320" s="1464"/>
      <c r="E1320" s="1459"/>
      <c r="F1320" s="1462"/>
      <c r="G1320" s="353"/>
      <c r="H1320" s="340" t="s">
        <v>29</v>
      </c>
      <c r="I1320" s="341"/>
      <c r="J1320" s="336"/>
      <c r="K1320" s="336"/>
      <c r="L1320" s="336"/>
      <c r="M1320" s="363"/>
      <c r="N1320" s="336"/>
      <c r="O1320" s="338">
        <f t="shared" si="608"/>
        <v>0</v>
      </c>
      <c r="P1320" s="336"/>
      <c r="Q1320" s="430"/>
      <c r="T1320" s="418"/>
    </row>
    <row r="1321" spans="3:20" ht="15" hidden="1" outlineLevel="2">
      <c r="C1321" s="1464"/>
      <c r="D1321" s="1464"/>
      <c r="E1321" s="1459"/>
      <c r="F1321" s="1462"/>
      <c r="G1321" s="353"/>
      <c r="H1321" s="340" t="s">
        <v>29</v>
      </c>
      <c r="I1321" s="341"/>
      <c r="J1321" s="336"/>
      <c r="K1321" s="336"/>
      <c r="L1321" s="336"/>
      <c r="M1321" s="363"/>
      <c r="N1321" s="336"/>
      <c r="O1321" s="338">
        <f t="shared" si="608"/>
        <v>0</v>
      </c>
      <c r="P1321" s="336"/>
      <c r="Q1321" s="430"/>
      <c r="T1321" s="418"/>
    </row>
    <row r="1322" spans="3:20" ht="15" hidden="1" outlineLevel="2">
      <c r="C1322" s="1464"/>
      <c r="D1322" s="1464"/>
      <c r="E1322" s="1459"/>
      <c r="F1322" s="1462"/>
      <c r="G1322" s="1454" t="s">
        <v>50</v>
      </c>
      <c r="H1322" s="1455"/>
      <c r="I1322" s="359">
        <f>SUM(I1310:I1321)</f>
        <v>0</v>
      </c>
      <c r="J1322" s="359">
        <f t="shared" ref="J1322:K1322" si="613">SUM(J1310:J1321)</f>
        <v>0</v>
      </c>
      <c r="K1322" s="359">
        <f t="shared" si="613"/>
        <v>0</v>
      </c>
      <c r="L1322" s="359">
        <f t="shared" ref="L1322" si="614">SUM(L1310:L1321)</f>
        <v>0</v>
      </c>
      <c r="M1322" s="360" t="s">
        <v>43</v>
      </c>
      <c r="N1322" s="359">
        <f>SUM(N1310:N1321)</f>
        <v>0</v>
      </c>
      <c r="O1322" s="361">
        <f t="shared" si="608"/>
        <v>0</v>
      </c>
      <c r="P1322" s="359">
        <f t="shared" ref="P1322:Q1322" si="615">SUM(P1310:P1321)</f>
        <v>0</v>
      </c>
      <c r="Q1322" s="435">
        <f t="shared" si="615"/>
        <v>0</v>
      </c>
      <c r="T1322" s="418"/>
    </row>
    <row r="1323" spans="3:20" ht="15" hidden="1" outlineLevel="2">
      <c r="C1323" s="1464"/>
      <c r="D1323" s="1464"/>
      <c r="E1323" s="1459"/>
      <c r="F1323" s="1462"/>
      <c r="G1323" s="353"/>
      <c r="H1323" s="340" t="s">
        <v>22</v>
      </c>
      <c r="I1323" s="341"/>
      <c r="J1323" s="341">
        <v>0</v>
      </c>
      <c r="K1323" s="341"/>
      <c r="L1323" s="341"/>
      <c r="M1323" s="410"/>
      <c r="N1323" s="341"/>
      <c r="O1323" s="357">
        <f t="shared" si="608"/>
        <v>0</v>
      </c>
      <c r="P1323" s="341">
        <v>0</v>
      </c>
      <c r="Q1323" s="431">
        <v>0</v>
      </c>
      <c r="T1323" s="418"/>
    </row>
    <row r="1324" spans="3:20" ht="15" hidden="1" outlineLevel="2">
      <c r="C1324" s="1464"/>
      <c r="D1324" s="1464"/>
      <c r="E1324" s="1459"/>
      <c r="F1324" s="1462"/>
      <c r="G1324" s="353"/>
      <c r="H1324" s="340" t="s">
        <v>22</v>
      </c>
      <c r="I1324" s="341"/>
      <c r="J1324" s="341">
        <v>0</v>
      </c>
      <c r="K1324" s="341"/>
      <c r="L1324" s="341"/>
      <c r="M1324" s="410"/>
      <c r="N1324" s="341"/>
      <c r="O1324" s="357">
        <f t="shared" si="608"/>
        <v>0</v>
      </c>
      <c r="P1324" s="341">
        <v>0</v>
      </c>
      <c r="Q1324" s="431">
        <v>0</v>
      </c>
      <c r="T1324" s="418"/>
    </row>
    <row r="1325" spans="3:20" ht="15" hidden="1" outlineLevel="2">
      <c r="C1325" s="1464"/>
      <c r="D1325" s="1464"/>
      <c r="E1325" s="1459"/>
      <c r="F1325" s="1462"/>
      <c r="G1325" s="353"/>
      <c r="H1325" s="340" t="s">
        <v>22</v>
      </c>
      <c r="I1325" s="341"/>
      <c r="J1325" s="341">
        <v>0</v>
      </c>
      <c r="K1325" s="341"/>
      <c r="L1325" s="341"/>
      <c r="M1325" s="410"/>
      <c r="N1325" s="341"/>
      <c r="O1325" s="357">
        <f t="shared" si="608"/>
        <v>0</v>
      </c>
      <c r="P1325" s="341">
        <v>0</v>
      </c>
      <c r="Q1325" s="431">
        <v>0</v>
      </c>
      <c r="T1325" s="418"/>
    </row>
    <row r="1326" spans="3:20" ht="15" hidden="1" outlineLevel="2">
      <c r="C1326" s="1464"/>
      <c r="D1326" s="1464"/>
      <c r="E1326" s="1459"/>
      <c r="F1326" s="1462"/>
      <c r="G1326" s="353"/>
      <c r="H1326" s="340" t="s">
        <v>22</v>
      </c>
      <c r="I1326" s="341"/>
      <c r="J1326" s="341">
        <v>0</v>
      </c>
      <c r="K1326" s="341"/>
      <c r="L1326" s="341"/>
      <c r="M1326" s="410"/>
      <c r="N1326" s="341"/>
      <c r="O1326" s="357">
        <f t="shared" si="608"/>
        <v>0</v>
      </c>
      <c r="P1326" s="341">
        <v>0</v>
      </c>
      <c r="Q1326" s="431">
        <v>0</v>
      </c>
      <c r="T1326" s="418"/>
    </row>
    <row r="1327" spans="3:20" ht="15" hidden="1" outlineLevel="2">
      <c r="C1327" s="1464"/>
      <c r="D1327" s="1464"/>
      <c r="E1327" s="1459"/>
      <c r="F1327" s="1462"/>
      <c r="G1327" s="353"/>
      <c r="H1327" s="340" t="s">
        <v>22</v>
      </c>
      <c r="I1327" s="341"/>
      <c r="J1327" s="341">
        <v>0</v>
      </c>
      <c r="K1327" s="341"/>
      <c r="L1327" s="341"/>
      <c r="M1327" s="410"/>
      <c r="N1327" s="341"/>
      <c r="O1327" s="357">
        <f t="shared" si="608"/>
        <v>0</v>
      </c>
      <c r="P1327" s="341">
        <v>0</v>
      </c>
      <c r="Q1327" s="431">
        <v>0</v>
      </c>
      <c r="T1327" s="418"/>
    </row>
    <row r="1328" spans="3:20" ht="15" hidden="1" outlineLevel="2">
      <c r="C1328" s="1464"/>
      <c r="D1328" s="1464"/>
      <c r="E1328" s="1459"/>
      <c r="F1328" s="1462"/>
      <c r="G1328" s="353"/>
      <c r="H1328" s="340" t="s">
        <v>22</v>
      </c>
      <c r="I1328" s="341"/>
      <c r="J1328" s="341">
        <v>0</v>
      </c>
      <c r="K1328" s="341"/>
      <c r="L1328" s="341"/>
      <c r="M1328" s="410"/>
      <c r="N1328" s="341"/>
      <c r="O1328" s="357">
        <f t="shared" si="608"/>
        <v>0</v>
      </c>
      <c r="P1328" s="341">
        <v>0</v>
      </c>
      <c r="Q1328" s="431">
        <v>0</v>
      </c>
      <c r="T1328" s="418"/>
    </row>
    <row r="1329" spans="3:20" ht="15" hidden="1" outlineLevel="2">
      <c r="C1329" s="1464"/>
      <c r="D1329" s="1464"/>
      <c r="E1329" s="1459"/>
      <c r="F1329" s="1462"/>
      <c r="G1329" s="353"/>
      <c r="H1329" s="340" t="s">
        <v>22</v>
      </c>
      <c r="I1329" s="341"/>
      <c r="J1329" s="341">
        <v>0</v>
      </c>
      <c r="K1329" s="341"/>
      <c r="L1329" s="341"/>
      <c r="M1329" s="410"/>
      <c r="N1329" s="341"/>
      <c r="O1329" s="357">
        <f t="shared" si="608"/>
        <v>0</v>
      </c>
      <c r="P1329" s="341">
        <v>0</v>
      </c>
      <c r="Q1329" s="431">
        <v>0</v>
      </c>
      <c r="T1329" s="418"/>
    </row>
    <row r="1330" spans="3:20" ht="15" hidden="1" outlineLevel="2">
      <c r="C1330" s="1464"/>
      <c r="D1330" s="1464"/>
      <c r="E1330" s="1459"/>
      <c r="F1330" s="1462"/>
      <c r="G1330" s="353"/>
      <c r="H1330" s="340" t="s">
        <v>22</v>
      </c>
      <c r="I1330" s="341"/>
      <c r="J1330" s="341">
        <v>0</v>
      </c>
      <c r="K1330" s="341"/>
      <c r="L1330" s="341"/>
      <c r="M1330" s="410"/>
      <c r="N1330" s="341"/>
      <c r="O1330" s="357">
        <f t="shared" si="608"/>
        <v>0</v>
      </c>
      <c r="P1330" s="341">
        <v>0</v>
      </c>
      <c r="Q1330" s="431">
        <v>0</v>
      </c>
      <c r="T1330" s="418"/>
    </row>
    <row r="1331" spans="3:20" ht="15" hidden="1" outlineLevel="2">
      <c r="C1331" s="1464"/>
      <c r="D1331" s="1464"/>
      <c r="E1331" s="1459"/>
      <c r="F1331" s="1462"/>
      <c r="G1331" s="353"/>
      <c r="H1331" s="340" t="s">
        <v>22</v>
      </c>
      <c r="I1331" s="341"/>
      <c r="J1331" s="341">
        <v>0</v>
      </c>
      <c r="K1331" s="341"/>
      <c r="L1331" s="341"/>
      <c r="M1331" s="410"/>
      <c r="N1331" s="341"/>
      <c r="O1331" s="357">
        <f t="shared" si="608"/>
        <v>0</v>
      </c>
      <c r="P1331" s="341">
        <v>0</v>
      </c>
      <c r="Q1331" s="431">
        <v>0</v>
      </c>
      <c r="T1331" s="418"/>
    </row>
    <row r="1332" spans="3:20" ht="15" hidden="1" outlineLevel="2">
      <c r="C1332" s="1464"/>
      <c r="D1332" s="1464"/>
      <c r="E1332" s="1459"/>
      <c r="F1332" s="1462"/>
      <c r="G1332" s="353"/>
      <c r="H1332" s="340" t="s">
        <v>22</v>
      </c>
      <c r="I1332" s="341"/>
      <c r="J1332" s="341">
        <v>0</v>
      </c>
      <c r="K1332" s="341"/>
      <c r="L1332" s="341"/>
      <c r="M1332" s="410"/>
      <c r="N1332" s="341"/>
      <c r="O1332" s="357">
        <f t="shared" si="608"/>
        <v>0</v>
      </c>
      <c r="P1332" s="341">
        <v>0</v>
      </c>
      <c r="Q1332" s="431">
        <v>0</v>
      </c>
      <c r="T1332" s="418"/>
    </row>
    <row r="1333" spans="3:20" ht="15" hidden="1" outlineLevel="2">
      <c r="C1333" s="1464"/>
      <c r="D1333" s="1464"/>
      <c r="E1333" s="1459"/>
      <c r="F1333" s="1462"/>
      <c r="G1333" s="353"/>
      <c r="H1333" s="340" t="s">
        <v>22</v>
      </c>
      <c r="I1333" s="341"/>
      <c r="J1333" s="341">
        <v>0</v>
      </c>
      <c r="K1333" s="341"/>
      <c r="L1333" s="341"/>
      <c r="M1333" s="410"/>
      <c r="N1333" s="341"/>
      <c r="O1333" s="357">
        <f t="shared" si="608"/>
        <v>0</v>
      </c>
      <c r="P1333" s="341">
        <v>0</v>
      </c>
      <c r="Q1333" s="431">
        <v>0</v>
      </c>
      <c r="T1333" s="418"/>
    </row>
    <row r="1334" spans="3:20" ht="15" hidden="1" outlineLevel="2">
      <c r="C1334" s="1464"/>
      <c r="D1334" s="1464"/>
      <c r="E1334" s="1459"/>
      <c r="F1334" s="1462"/>
      <c r="G1334" s="353"/>
      <c r="H1334" s="340" t="s">
        <v>22</v>
      </c>
      <c r="I1334" s="341"/>
      <c r="J1334" s="341">
        <v>0</v>
      </c>
      <c r="K1334" s="341"/>
      <c r="L1334" s="341"/>
      <c r="M1334" s="410"/>
      <c r="N1334" s="341"/>
      <c r="O1334" s="357">
        <f t="shared" si="608"/>
        <v>0</v>
      </c>
      <c r="P1334" s="341">
        <v>0</v>
      </c>
      <c r="Q1334" s="431">
        <v>0</v>
      </c>
      <c r="T1334" s="418"/>
    </row>
    <row r="1335" spans="3:20" ht="15" hidden="1" outlineLevel="2">
      <c r="C1335" s="1464"/>
      <c r="D1335" s="1464"/>
      <c r="E1335" s="1459"/>
      <c r="F1335" s="1462"/>
      <c r="G1335" s="353"/>
      <c r="H1335" s="340" t="s">
        <v>22</v>
      </c>
      <c r="I1335" s="341"/>
      <c r="J1335" s="341">
        <v>0</v>
      </c>
      <c r="K1335" s="341"/>
      <c r="L1335" s="341"/>
      <c r="M1335" s="410"/>
      <c r="N1335" s="341"/>
      <c r="O1335" s="357">
        <f t="shared" si="608"/>
        <v>0</v>
      </c>
      <c r="P1335" s="341">
        <v>0</v>
      </c>
      <c r="Q1335" s="431">
        <v>0</v>
      </c>
      <c r="T1335" s="418"/>
    </row>
    <row r="1336" spans="3:20" ht="15" hidden="1" outlineLevel="2">
      <c r="C1336" s="1464"/>
      <c r="D1336" s="1464"/>
      <c r="E1336" s="1459"/>
      <c r="F1336" s="1462"/>
      <c r="G1336" s="353"/>
      <c r="H1336" s="340" t="s">
        <v>22</v>
      </c>
      <c r="I1336" s="341"/>
      <c r="J1336" s="341">
        <v>0</v>
      </c>
      <c r="K1336" s="341"/>
      <c r="L1336" s="341"/>
      <c r="M1336" s="410"/>
      <c r="N1336" s="341"/>
      <c r="O1336" s="357">
        <f t="shared" si="608"/>
        <v>0</v>
      </c>
      <c r="P1336" s="341">
        <v>0</v>
      </c>
      <c r="Q1336" s="431">
        <v>0</v>
      </c>
      <c r="T1336" s="418"/>
    </row>
    <row r="1337" spans="3:20" ht="15" hidden="1" outlineLevel="2">
      <c r="C1337" s="1464"/>
      <c r="D1337" s="1464"/>
      <c r="E1337" s="1459"/>
      <c r="F1337" s="1462"/>
      <c r="G1337" s="353"/>
      <c r="H1337" s="340" t="s">
        <v>22</v>
      </c>
      <c r="I1337" s="341"/>
      <c r="J1337" s="341">
        <v>0</v>
      </c>
      <c r="K1337" s="341"/>
      <c r="L1337" s="341"/>
      <c r="M1337" s="410"/>
      <c r="N1337" s="341"/>
      <c r="O1337" s="357">
        <f t="shared" si="608"/>
        <v>0</v>
      </c>
      <c r="P1337" s="341">
        <v>0</v>
      </c>
      <c r="Q1337" s="431">
        <v>0</v>
      </c>
      <c r="T1337" s="418"/>
    </row>
    <row r="1338" spans="3:20" ht="15" hidden="1" outlineLevel="2">
      <c r="C1338" s="1464"/>
      <c r="D1338" s="1464"/>
      <c r="E1338" s="1459"/>
      <c r="F1338" s="1462"/>
      <c r="G1338" s="353"/>
      <c r="H1338" s="340" t="s">
        <v>22</v>
      </c>
      <c r="I1338" s="341"/>
      <c r="J1338" s="341">
        <v>0</v>
      </c>
      <c r="K1338" s="341"/>
      <c r="L1338" s="341"/>
      <c r="M1338" s="410"/>
      <c r="N1338" s="341"/>
      <c r="O1338" s="357">
        <f t="shared" si="608"/>
        <v>0</v>
      </c>
      <c r="P1338" s="341">
        <v>0</v>
      </c>
      <c r="Q1338" s="431">
        <v>0</v>
      </c>
      <c r="T1338" s="418"/>
    </row>
    <row r="1339" spans="3:20" ht="15" hidden="1" outlineLevel="2">
      <c r="C1339" s="1464"/>
      <c r="D1339" s="1464"/>
      <c r="E1339" s="1459"/>
      <c r="F1339" s="1462"/>
      <c r="G1339" s="353"/>
      <c r="H1339" s="340" t="s">
        <v>22</v>
      </c>
      <c r="I1339" s="341"/>
      <c r="J1339" s="341">
        <v>0</v>
      </c>
      <c r="K1339" s="341"/>
      <c r="L1339" s="341"/>
      <c r="M1339" s="410"/>
      <c r="N1339" s="341"/>
      <c r="O1339" s="357">
        <f t="shared" si="608"/>
        <v>0</v>
      </c>
      <c r="P1339" s="341">
        <v>0</v>
      </c>
      <c r="Q1339" s="431">
        <v>0</v>
      </c>
      <c r="T1339" s="418"/>
    </row>
    <row r="1340" spans="3:20" ht="15" hidden="1" outlineLevel="2">
      <c r="C1340" s="1464"/>
      <c r="D1340" s="1464"/>
      <c r="E1340" s="1459"/>
      <c r="F1340" s="1462"/>
      <c r="G1340" s="353"/>
      <c r="H1340" s="340" t="s">
        <v>22</v>
      </c>
      <c r="I1340" s="341"/>
      <c r="J1340" s="341">
        <v>0</v>
      </c>
      <c r="K1340" s="341"/>
      <c r="L1340" s="341"/>
      <c r="M1340" s="410"/>
      <c r="N1340" s="341"/>
      <c r="O1340" s="357">
        <f t="shared" si="608"/>
        <v>0</v>
      </c>
      <c r="P1340" s="341">
        <v>0</v>
      </c>
      <c r="Q1340" s="431">
        <v>0</v>
      </c>
      <c r="T1340" s="418"/>
    </row>
    <row r="1341" spans="3:20" ht="15" hidden="1" outlineLevel="2">
      <c r="C1341" s="1464"/>
      <c r="D1341" s="1464"/>
      <c r="E1341" s="1459"/>
      <c r="F1341" s="1462"/>
      <c r="G1341" s="353"/>
      <c r="H1341" s="340" t="s">
        <v>22</v>
      </c>
      <c r="I1341" s="341"/>
      <c r="J1341" s="341">
        <v>0</v>
      </c>
      <c r="K1341" s="341"/>
      <c r="L1341" s="341"/>
      <c r="M1341" s="410"/>
      <c r="N1341" s="341"/>
      <c r="O1341" s="357">
        <f t="shared" si="608"/>
        <v>0</v>
      </c>
      <c r="P1341" s="341">
        <v>0</v>
      </c>
      <c r="Q1341" s="431">
        <v>0</v>
      </c>
      <c r="T1341" s="418"/>
    </row>
    <row r="1342" spans="3:20" ht="15" hidden="1" outlineLevel="2">
      <c r="C1342" s="1464"/>
      <c r="D1342" s="1464"/>
      <c r="E1342" s="1459"/>
      <c r="F1342" s="1462"/>
      <c r="G1342" s="1454" t="s">
        <v>44</v>
      </c>
      <c r="H1342" s="1455"/>
      <c r="I1342" s="365">
        <f>SUM(I1323:I1341)</f>
        <v>0</v>
      </c>
      <c r="J1342" s="365">
        <f t="shared" ref="J1342:K1342" si="616">SUM(J1323:J1341)</f>
        <v>0</v>
      </c>
      <c r="K1342" s="365">
        <f t="shared" si="616"/>
        <v>0</v>
      </c>
      <c r="L1342" s="365">
        <f t="shared" ref="L1342" si="617">SUM(L1323:L1341)</f>
        <v>0</v>
      </c>
      <c r="M1342" s="366" t="s">
        <v>43</v>
      </c>
      <c r="N1342" s="365">
        <f t="shared" ref="N1342" si="618">SUM(N1323:N1341)</f>
        <v>0</v>
      </c>
      <c r="O1342" s="361">
        <f t="shared" si="608"/>
        <v>0</v>
      </c>
      <c r="P1342" s="365">
        <f t="shared" ref="P1342:Q1342" si="619">SUM(P1323:P1341)</f>
        <v>0</v>
      </c>
      <c r="Q1342" s="436">
        <f t="shared" si="619"/>
        <v>0</v>
      </c>
      <c r="T1342" s="418"/>
    </row>
    <row r="1343" spans="3:20" ht="15" hidden="1" outlineLevel="2">
      <c r="C1343" s="1464"/>
      <c r="D1343" s="1464"/>
      <c r="E1343" s="1459"/>
      <c r="F1343" s="1462"/>
      <c r="G1343" s="343"/>
      <c r="H1343" s="335" t="s">
        <v>4</v>
      </c>
      <c r="I1343" s="336">
        <f>I1309</f>
        <v>0</v>
      </c>
      <c r="J1343" s="336">
        <f>J1309</f>
        <v>0</v>
      </c>
      <c r="K1343" s="336">
        <f>K1309</f>
        <v>0</v>
      </c>
      <c r="L1343" s="336">
        <f>L1309</f>
        <v>0</v>
      </c>
      <c r="M1343" s="337" t="s">
        <v>49</v>
      </c>
      <c r="N1343" s="336">
        <f>N1309</f>
        <v>0</v>
      </c>
      <c r="O1343" s="338">
        <f t="shared" si="608"/>
        <v>0</v>
      </c>
      <c r="P1343" s="336">
        <f>P1309</f>
        <v>0</v>
      </c>
      <c r="Q1343" s="430">
        <f>Q1309</f>
        <v>0</v>
      </c>
      <c r="T1343" s="418"/>
    </row>
    <row r="1344" spans="3:20" ht="15" hidden="1" outlineLevel="2">
      <c r="C1344" s="1464"/>
      <c r="D1344" s="1464"/>
      <c r="E1344" s="1459"/>
      <c r="F1344" s="1462"/>
      <c r="G1344" s="350"/>
      <c r="H1344" s="335" t="s">
        <v>29</v>
      </c>
      <c r="I1344" s="336">
        <f>I1322</f>
        <v>0</v>
      </c>
      <c r="J1344" s="336">
        <f t="shared" ref="J1344:N1344" si="620">J1322</f>
        <v>0</v>
      </c>
      <c r="K1344" s="336">
        <f t="shared" si="620"/>
        <v>0</v>
      </c>
      <c r="L1344" s="336">
        <f t="shared" ref="L1344" si="621">L1322</f>
        <v>0</v>
      </c>
      <c r="M1344" s="336" t="str">
        <f t="shared" si="620"/>
        <v>Cash Security</v>
      </c>
      <c r="N1344" s="336">
        <f t="shared" si="620"/>
        <v>0</v>
      </c>
      <c r="O1344" s="338">
        <f t="shared" ref="O1344:O1407" si="622">IF(N1344=0,0,N1344/J1344)</f>
        <v>0</v>
      </c>
      <c r="P1344" s="336">
        <f t="shared" ref="P1344:Q1344" si="623">P1322</f>
        <v>0</v>
      </c>
      <c r="Q1344" s="430">
        <f t="shared" si="623"/>
        <v>0</v>
      </c>
      <c r="T1344" s="418"/>
    </row>
    <row r="1345" spans="3:20" ht="15" hidden="1" outlineLevel="2">
      <c r="C1345" s="1464"/>
      <c r="D1345" s="1464"/>
      <c r="E1345" s="1459"/>
      <c r="F1345" s="1462"/>
      <c r="G1345" s="350"/>
      <c r="H1345" s="340" t="s">
        <v>22</v>
      </c>
      <c r="I1345" s="336">
        <f>I1342</f>
        <v>0</v>
      </c>
      <c r="J1345" s="336">
        <f t="shared" ref="J1345:N1345" si="624">J1342</f>
        <v>0</v>
      </c>
      <c r="K1345" s="336">
        <f t="shared" si="624"/>
        <v>0</v>
      </c>
      <c r="L1345" s="336">
        <f t="shared" ref="L1345" si="625">L1342</f>
        <v>0</v>
      </c>
      <c r="M1345" s="336" t="str">
        <f t="shared" si="624"/>
        <v>Cash Security</v>
      </c>
      <c r="N1345" s="336">
        <f t="shared" si="624"/>
        <v>0</v>
      </c>
      <c r="O1345" s="338">
        <f t="shared" si="622"/>
        <v>0</v>
      </c>
      <c r="P1345" s="336">
        <f t="shared" ref="P1345:Q1345" si="626">P1342</f>
        <v>0</v>
      </c>
      <c r="Q1345" s="430">
        <f t="shared" si="626"/>
        <v>0</v>
      </c>
      <c r="T1345" s="418"/>
    </row>
    <row r="1346" spans="3:20" ht="15" hidden="1" outlineLevel="1" collapsed="1">
      <c r="C1346" s="1464"/>
      <c r="D1346" s="1464"/>
      <c r="E1346" s="1459"/>
      <c r="F1346" s="1463"/>
      <c r="G1346" s="1454" t="s">
        <v>177</v>
      </c>
      <c r="H1346" s="1455"/>
      <c r="I1346" s="359">
        <f>(I1343/usdrate)+(I1344*eurrate)+I1345</f>
        <v>0</v>
      </c>
      <c r="J1346" s="359">
        <f>(J1343/usdrate)+(J1344*eurrate)+J1345</f>
        <v>0</v>
      </c>
      <c r="K1346" s="359">
        <f>(K1343/usdrate)+(K1344*eurrate)+K1345</f>
        <v>0</v>
      </c>
      <c r="L1346" s="359">
        <f>(L1343/usdrate)+(L1344*eurrate)+L1345</f>
        <v>0</v>
      </c>
      <c r="M1346" s="360" t="s">
        <v>178</v>
      </c>
      <c r="N1346" s="359">
        <f>(N1343/usdrate)+(N1344*eurrate)+N1345</f>
        <v>0</v>
      </c>
      <c r="O1346" s="367">
        <f t="shared" si="622"/>
        <v>0</v>
      </c>
      <c r="P1346" s="359">
        <f>(P1343/usdrate)+(P1344*eurrate)+P1345</f>
        <v>0</v>
      </c>
      <c r="Q1346" s="435">
        <f>(Q1343/usdrate)+(Q1344*eurrate)+Q1345</f>
        <v>0</v>
      </c>
      <c r="T1346" s="418"/>
    </row>
    <row r="1347" spans="3:20" ht="15" hidden="1" outlineLevel="2">
      <c r="C1347" s="1464"/>
      <c r="D1347" s="1464"/>
      <c r="E1347" s="1459"/>
      <c r="F1347" s="1461" t="s">
        <v>174</v>
      </c>
      <c r="G1347" s="368"/>
      <c r="H1347" s="335" t="s">
        <v>4</v>
      </c>
      <c r="I1347" s="336"/>
      <c r="J1347" s="336"/>
      <c r="K1347" s="336"/>
      <c r="L1347" s="336"/>
      <c r="M1347" s="363"/>
      <c r="N1347" s="336"/>
      <c r="O1347" s="338">
        <f t="shared" si="622"/>
        <v>0</v>
      </c>
      <c r="P1347" s="336"/>
      <c r="Q1347" s="430"/>
      <c r="T1347" s="418"/>
    </row>
    <row r="1348" spans="3:20" ht="15" hidden="1" outlineLevel="2">
      <c r="C1348" s="1464"/>
      <c r="D1348" s="1464"/>
      <c r="E1348" s="1459"/>
      <c r="F1348" s="1462"/>
      <c r="G1348" s="368"/>
      <c r="H1348" s="335" t="s">
        <v>4</v>
      </c>
      <c r="I1348" s="336"/>
      <c r="J1348" s="336"/>
      <c r="K1348" s="336"/>
      <c r="L1348" s="336"/>
      <c r="M1348" s="363"/>
      <c r="N1348" s="336"/>
      <c r="O1348" s="338">
        <f t="shared" si="622"/>
        <v>0</v>
      </c>
      <c r="P1348" s="336"/>
      <c r="Q1348" s="430"/>
      <c r="T1348" s="418"/>
    </row>
    <row r="1349" spans="3:20" ht="15" hidden="1" outlineLevel="2">
      <c r="C1349" s="1464"/>
      <c r="D1349" s="1464"/>
      <c r="E1349" s="1459"/>
      <c r="F1349" s="1462"/>
      <c r="G1349" s="368"/>
      <c r="H1349" s="335" t="s">
        <v>4</v>
      </c>
      <c r="I1349" s="336"/>
      <c r="J1349" s="336"/>
      <c r="K1349" s="336"/>
      <c r="L1349" s="336"/>
      <c r="M1349" s="363"/>
      <c r="N1349" s="336"/>
      <c r="O1349" s="338">
        <f t="shared" si="622"/>
        <v>0</v>
      </c>
      <c r="P1349" s="336"/>
      <c r="Q1349" s="430"/>
      <c r="T1349" s="418"/>
    </row>
    <row r="1350" spans="3:20" ht="15" hidden="1" outlineLevel="2">
      <c r="C1350" s="1464"/>
      <c r="D1350" s="1464"/>
      <c r="E1350" s="1459"/>
      <c r="F1350" s="1462"/>
      <c r="G1350" s="368"/>
      <c r="H1350" s="335" t="s">
        <v>4</v>
      </c>
      <c r="I1350" s="336"/>
      <c r="J1350" s="336"/>
      <c r="K1350" s="336"/>
      <c r="L1350" s="336"/>
      <c r="M1350" s="363"/>
      <c r="N1350" s="336"/>
      <c r="O1350" s="338">
        <f t="shared" si="622"/>
        <v>0</v>
      </c>
      <c r="P1350" s="336"/>
      <c r="Q1350" s="430"/>
      <c r="T1350" s="418"/>
    </row>
    <row r="1351" spans="3:20" ht="15" hidden="1" outlineLevel="2">
      <c r="C1351" s="1464"/>
      <c r="D1351" s="1464"/>
      <c r="E1351" s="1459"/>
      <c r="F1351" s="1462"/>
      <c r="G1351" s="368"/>
      <c r="H1351" s="335" t="s">
        <v>4</v>
      </c>
      <c r="I1351" s="336"/>
      <c r="J1351" s="336"/>
      <c r="K1351" s="336"/>
      <c r="L1351" s="336"/>
      <c r="M1351" s="363"/>
      <c r="N1351" s="336"/>
      <c r="O1351" s="338">
        <f t="shared" si="622"/>
        <v>0</v>
      </c>
      <c r="P1351" s="336"/>
      <c r="Q1351" s="430"/>
      <c r="T1351" s="418"/>
    </row>
    <row r="1352" spans="3:20" ht="15" hidden="1" outlineLevel="2">
      <c r="C1352" s="1464"/>
      <c r="D1352" s="1464"/>
      <c r="E1352" s="1459"/>
      <c r="F1352" s="1462"/>
      <c r="G1352" s="368"/>
      <c r="H1352" s="335" t="s">
        <v>4</v>
      </c>
      <c r="I1352" s="336"/>
      <c r="J1352" s="336"/>
      <c r="K1352" s="336"/>
      <c r="L1352" s="336"/>
      <c r="M1352" s="363"/>
      <c r="N1352" s="336"/>
      <c r="O1352" s="338">
        <f t="shared" si="622"/>
        <v>0</v>
      </c>
      <c r="P1352" s="336"/>
      <c r="Q1352" s="430"/>
      <c r="T1352" s="418"/>
    </row>
    <row r="1353" spans="3:20" ht="15" hidden="1" outlineLevel="2">
      <c r="C1353" s="1464"/>
      <c r="D1353" s="1464"/>
      <c r="E1353" s="1459"/>
      <c r="F1353" s="1462"/>
      <c r="G1353" s="368"/>
      <c r="H1353" s="335" t="s">
        <v>4</v>
      </c>
      <c r="I1353" s="336"/>
      <c r="J1353" s="336"/>
      <c r="K1353" s="336"/>
      <c r="L1353" s="336"/>
      <c r="M1353" s="363"/>
      <c r="N1353" s="336"/>
      <c r="O1353" s="338">
        <f t="shared" si="622"/>
        <v>0</v>
      </c>
      <c r="P1353" s="336"/>
      <c r="Q1353" s="430"/>
      <c r="T1353" s="418"/>
    </row>
    <row r="1354" spans="3:20" ht="15" hidden="1" outlineLevel="2">
      <c r="C1354" s="1464"/>
      <c r="D1354" s="1464"/>
      <c r="E1354" s="1459"/>
      <c r="F1354" s="1462"/>
      <c r="G1354" s="368"/>
      <c r="H1354" s="335" t="s">
        <v>4</v>
      </c>
      <c r="I1354" s="336"/>
      <c r="J1354" s="336"/>
      <c r="K1354" s="336"/>
      <c r="L1354" s="336"/>
      <c r="M1354" s="363"/>
      <c r="N1354" s="336"/>
      <c r="O1354" s="338">
        <f t="shared" si="622"/>
        <v>0</v>
      </c>
      <c r="P1354" s="336"/>
      <c r="Q1354" s="430"/>
      <c r="T1354" s="418"/>
    </row>
    <row r="1355" spans="3:20" ht="15" hidden="1" outlineLevel="2">
      <c r="C1355" s="1464"/>
      <c r="D1355" s="1464"/>
      <c r="E1355" s="1459"/>
      <c r="F1355" s="1462"/>
      <c r="G1355" s="368"/>
      <c r="H1355" s="335" t="s">
        <v>4</v>
      </c>
      <c r="I1355" s="336"/>
      <c r="J1355" s="336"/>
      <c r="K1355" s="336"/>
      <c r="L1355" s="336"/>
      <c r="M1355" s="363"/>
      <c r="N1355" s="336"/>
      <c r="O1355" s="338">
        <f t="shared" si="622"/>
        <v>0</v>
      </c>
      <c r="P1355" s="336"/>
      <c r="Q1355" s="430"/>
      <c r="T1355" s="418"/>
    </row>
    <row r="1356" spans="3:20" ht="15" hidden="1" outlineLevel="2">
      <c r="C1356" s="1464"/>
      <c r="D1356" s="1464"/>
      <c r="E1356" s="1459"/>
      <c r="F1356" s="1462"/>
      <c r="G1356" s="368"/>
      <c r="H1356" s="335" t="s">
        <v>4</v>
      </c>
      <c r="I1356" s="336"/>
      <c r="J1356" s="336"/>
      <c r="K1356" s="336"/>
      <c r="L1356" s="336"/>
      <c r="M1356" s="363"/>
      <c r="N1356" s="336"/>
      <c r="O1356" s="338">
        <f t="shared" si="622"/>
        <v>0</v>
      </c>
      <c r="P1356" s="336"/>
      <c r="Q1356" s="430"/>
      <c r="T1356" s="418"/>
    </row>
    <row r="1357" spans="3:20" ht="15" hidden="1" outlineLevel="2">
      <c r="C1357" s="1464"/>
      <c r="D1357" s="1464"/>
      <c r="E1357" s="1459"/>
      <c r="F1357" s="1462"/>
      <c r="G1357" s="368"/>
      <c r="H1357" s="335" t="s">
        <v>4</v>
      </c>
      <c r="I1357" s="336"/>
      <c r="J1357" s="336"/>
      <c r="K1357" s="336"/>
      <c r="L1357" s="336"/>
      <c r="M1357" s="363"/>
      <c r="N1357" s="336"/>
      <c r="O1357" s="338">
        <f t="shared" si="622"/>
        <v>0</v>
      </c>
      <c r="P1357" s="336"/>
      <c r="Q1357" s="430"/>
      <c r="T1357" s="418"/>
    </row>
    <row r="1358" spans="3:20" ht="15" hidden="1" outlineLevel="2">
      <c r="C1358" s="1464"/>
      <c r="D1358" s="1464"/>
      <c r="E1358" s="1459"/>
      <c r="F1358" s="1462"/>
      <c r="G1358" s="368"/>
      <c r="H1358" s="335" t="s">
        <v>4</v>
      </c>
      <c r="I1358" s="336"/>
      <c r="J1358" s="336"/>
      <c r="K1358" s="336"/>
      <c r="L1358" s="336"/>
      <c r="M1358" s="363"/>
      <c r="N1358" s="336"/>
      <c r="O1358" s="338">
        <f t="shared" si="622"/>
        <v>0</v>
      </c>
      <c r="P1358" s="336"/>
      <c r="Q1358" s="430"/>
      <c r="T1358" s="418"/>
    </row>
    <row r="1359" spans="3:20" ht="15" hidden="1" outlineLevel="2">
      <c r="C1359" s="1464"/>
      <c r="D1359" s="1464"/>
      <c r="E1359" s="1459"/>
      <c r="F1359" s="1462"/>
      <c r="G1359" s="368"/>
      <c r="H1359" s="335" t="s">
        <v>4</v>
      </c>
      <c r="I1359" s="336"/>
      <c r="J1359" s="336"/>
      <c r="K1359" s="336"/>
      <c r="L1359" s="336"/>
      <c r="M1359" s="363"/>
      <c r="N1359" s="336"/>
      <c r="O1359" s="338">
        <f t="shared" si="622"/>
        <v>0</v>
      </c>
      <c r="P1359" s="336"/>
      <c r="Q1359" s="430"/>
      <c r="T1359" s="418"/>
    </row>
    <row r="1360" spans="3:20" ht="15" hidden="1" outlineLevel="2">
      <c r="C1360" s="1464"/>
      <c r="D1360" s="1464"/>
      <c r="E1360" s="1459"/>
      <c r="F1360" s="1462"/>
      <c r="G1360" s="368"/>
      <c r="H1360" s="335" t="s">
        <v>4</v>
      </c>
      <c r="I1360" s="336"/>
      <c r="J1360" s="336"/>
      <c r="K1360" s="336"/>
      <c r="L1360" s="336"/>
      <c r="M1360" s="363"/>
      <c r="N1360" s="336"/>
      <c r="O1360" s="338">
        <f t="shared" si="622"/>
        <v>0</v>
      </c>
      <c r="P1360" s="336"/>
      <c r="Q1360" s="430"/>
      <c r="T1360" s="418"/>
    </row>
    <row r="1361" spans="3:20" ht="15" hidden="1" outlineLevel="2">
      <c r="C1361" s="1464"/>
      <c r="D1361" s="1464"/>
      <c r="E1361" s="1459"/>
      <c r="F1361" s="1462"/>
      <c r="G1361" s="368"/>
      <c r="H1361" s="335" t="s">
        <v>4</v>
      </c>
      <c r="I1361" s="336"/>
      <c r="J1361" s="336"/>
      <c r="K1361" s="336"/>
      <c r="L1361" s="336"/>
      <c r="M1361" s="363"/>
      <c r="N1361" s="336"/>
      <c r="O1361" s="338">
        <f t="shared" si="622"/>
        <v>0</v>
      </c>
      <c r="P1361" s="336"/>
      <c r="Q1361" s="430"/>
      <c r="T1361" s="418"/>
    </row>
    <row r="1362" spans="3:20" ht="15" hidden="1" outlineLevel="2">
      <c r="C1362" s="1464"/>
      <c r="D1362" s="1464"/>
      <c r="E1362" s="1459"/>
      <c r="F1362" s="1462"/>
      <c r="G1362" s="368"/>
      <c r="H1362" s="335" t="s">
        <v>4</v>
      </c>
      <c r="I1362" s="336"/>
      <c r="J1362" s="336"/>
      <c r="K1362" s="336"/>
      <c r="L1362" s="336"/>
      <c r="M1362" s="363"/>
      <c r="N1362" s="336"/>
      <c r="O1362" s="338">
        <f t="shared" si="622"/>
        <v>0</v>
      </c>
      <c r="P1362" s="336"/>
      <c r="Q1362" s="430"/>
      <c r="T1362" s="418"/>
    </row>
    <row r="1363" spans="3:20" ht="15" hidden="1" outlineLevel="2">
      <c r="C1363" s="1464"/>
      <c r="D1363" s="1464"/>
      <c r="E1363" s="1459"/>
      <c r="F1363" s="1462"/>
      <c r="G1363" s="368"/>
      <c r="H1363" s="335" t="s">
        <v>4</v>
      </c>
      <c r="I1363" s="336"/>
      <c r="J1363" s="336"/>
      <c r="K1363" s="336"/>
      <c r="L1363" s="336"/>
      <c r="M1363" s="363"/>
      <c r="N1363" s="336"/>
      <c r="O1363" s="338">
        <f t="shared" si="622"/>
        <v>0</v>
      </c>
      <c r="P1363" s="336"/>
      <c r="Q1363" s="430"/>
      <c r="T1363" s="418"/>
    </row>
    <row r="1364" spans="3:20" ht="15" hidden="1" outlineLevel="2">
      <c r="C1364" s="1464"/>
      <c r="D1364" s="1464"/>
      <c r="E1364" s="1459"/>
      <c r="F1364" s="1462"/>
      <c r="G1364" s="368"/>
      <c r="H1364" s="335" t="s">
        <v>4</v>
      </c>
      <c r="I1364" s="336"/>
      <c r="J1364" s="336"/>
      <c r="K1364" s="336"/>
      <c r="L1364" s="336"/>
      <c r="M1364" s="363"/>
      <c r="N1364" s="336"/>
      <c r="O1364" s="338">
        <f t="shared" si="622"/>
        <v>0</v>
      </c>
      <c r="P1364" s="336"/>
      <c r="Q1364" s="430"/>
      <c r="T1364" s="418"/>
    </row>
    <row r="1365" spans="3:20" ht="15" hidden="1" outlineLevel="2">
      <c r="C1365" s="1464"/>
      <c r="D1365" s="1464"/>
      <c r="E1365" s="1459"/>
      <c r="F1365" s="1462"/>
      <c r="G1365" s="368"/>
      <c r="H1365" s="335" t="s">
        <v>4</v>
      </c>
      <c r="I1365" s="336"/>
      <c r="J1365" s="336"/>
      <c r="K1365" s="336"/>
      <c r="L1365" s="336"/>
      <c r="M1365" s="363"/>
      <c r="N1365" s="336"/>
      <c r="O1365" s="338">
        <f t="shared" si="622"/>
        <v>0</v>
      </c>
      <c r="P1365" s="336"/>
      <c r="Q1365" s="430"/>
      <c r="T1365" s="418"/>
    </row>
    <row r="1366" spans="3:20" ht="15" hidden="1" outlineLevel="2">
      <c r="C1366" s="1464"/>
      <c r="D1366" s="1464"/>
      <c r="E1366" s="1459"/>
      <c r="F1366" s="1462"/>
      <c r="G1366" s="368"/>
      <c r="H1366" s="335" t="s">
        <v>4</v>
      </c>
      <c r="I1366" s="336"/>
      <c r="J1366" s="336"/>
      <c r="K1366" s="336"/>
      <c r="L1366" s="336"/>
      <c r="M1366" s="363"/>
      <c r="N1366" s="336"/>
      <c r="O1366" s="338">
        <f t="shared" si="622"/>
        <v>0</v>
      </c>
      <c r="P1366" s="336"/>
      <c r="Q1366" s="430"/>
      <c r="T1366" s="418"/>
    </row>
    <row r="1367" spans="3:20" ht="15" hidden="1" outlineLevel="2">
      <c r="C1367" s="1464"/>
      <c r="D1367" s="1464"/>
      <c r="E1367" s="1459"/>
      <c r="F1367" s="1462"/>
      <c r="G1367" s="368"/>
      <c r="H1367" s="335" t="s">
        <v>4</v>
      </c>
      <c r="I1367" s="336"/>
      <c r="J1367" s="336"/>
      <c r="K1367" s="336"/>
      <c r="L1367" s="336"/>
      <c r="M1367" s="363"/>
      <c r="N1367" s="336"/>
      <c r="O1367" s="338">
        <f t="shared" si="622"/>
        <v>0</v>
      </c>
      <c r="P1367" s="336"/>
      <c r="Q1367" s="430"/>
      <c r="T1367" s="418"/>
    </row>
    <row r="1368" spans="3:20" ht="15" hidden="1" outlineLevel="2">
      <c r="C1368" s="1464"/>
      <c r="D1368" s="1464"/>
      <c r="E1368" s="1459"/>
      <c r="F1368" s="1462"/>
      <c r="G1368" s="368"/>
      <c r="H1368" s="335" t="s">
        <v>4</v>
      </c>
      <c r="I1368" s="336"/>
      <c r="J1368" s="336"/>
      <c r="K1368" s="336"/>
      <c r="L1368" s="336"/>
      <c r="M1368" s="363"/>
      <c r="N1368" s="336"/>
      <c r="O1368" s="338">
        <f t="shared" si="622"/>
        <v>0</v>
      </c>
      <c r="P1368" s="336"/>
      <c r="Q1368" s="430"/>
      <c r="T1368" s="418"/>
    </row>
    <row r="1369" spans="3:20" ht="15" hidden="1" outlineLevel="2">
      <c r="C1369" s="1464"/>
      <c r="D1369" s="1464"/>
      <c r="E1369" s="1459"/>
      <c r="F1369" s="1462"/>
      <c r="G1369" s="368"/>
      <c r="H1369" s="335" t="s">
        <v>4</v>
      </c>
      <c r="I1369" s="336"/>
      <c r="J1369" s="336"/>
      <c r="K1369" s="336"/>
      <c r="L1369" s="336"/>
      <c r="M1369" s="363"/>
      <c r="N1369" s="336"/>
      <c r="O1369" s="338">
        <f t="shared" si="622"/>
        <v>0</v>
      </c>
      <c r="P1369" s="336"/>
      <c r="Q1369" s="430"/>
      <c r="T1369" s="418"/>
    </row>
    <row r="1370" spans="3:20" ht="15" hidden="1" outlineLevel="2">
      <c r="C1370" s="1464"/>
      <c r="D1370" s="1464"/>
      <c r="E1370" s="1459"/>
      <c r="F1370" s="1462"/>
      <c r="G1370" s="368"/>
      <c r="H1370" s="335" t="s">
        <v>4</v>
      </c>
      <c r="I1370" s="336"/>
      <c r="J1370" s="336"/>
      <c r="K1370" s="336"/>
      <c r="L1370" s="336"/>
      <c r="M1370" s="363"/>
      <c r="N1370" s="336"/>
      <c r="O1370" s="338">
        <f t="shared" si="622"/>
        <v>0</v>
      </c>
      <c r="P1370" s="336"/>
      <c r="Q1370" s="430"/>
      <c r="T1370" s="418"/>
    </row>
    <row r="1371" spans="3:20" ht="15" hidden="1" outlineLevel="2">
      <c r="C1371" s="1464"/>
      <c r="D1371" s="1464"/>
      <c r="E1371" s="1459"/>
      <c r="F1371" s="1462"/>
      <c r="G1371" s="368"/>
      <c r="H1371" s="335" t="s">
        <v>4</v>
      </c>
      <c r="I1371" s="336"/>
      <c r="J1371" s="336"/>
      <c r="K1371" s="336"/>
      <c r="L1371" s="336"/>
      <c r="M1371" s="363"/>
      <c r="N1371" s="336"/>
      <c r="O1371" s="338">
        <f t="shared" si="622"/>
        <v>0</v>
      </c>
      <c r="P1371" s="336"/>
      <c r="Q1371" s="430"/>
      <c r="T1371" s="418"/>
    </row>
    <row r="1372" spans="3:20" ht="15" hidden="1" outlineLevel="2">
      <c r="C1372" s="1464"/>
      <c r="D1372" s="1464"/>
      <c r="E1372" s="1459"/>
      <c r="F1372" s="1462"/>
      <c r="G1372" s="368"/>
      <c r="H1372" s="335" t="s">
        <v>4</v>
      </c>
      <c r="I1372" s="336"/>
      <c r="J1372" s="336"/>
      <c r="K1372" s="336"/>
      <c r="L1372" s="336"/>
      <c r="M1372" s="363"/>
      <c r="N1372" s="336"/>
      <c r="O1372" s="338">
        <f t="shared" si="622"/>
        <v>0</v>
      </c>
      <c r="P1372" s="336"/>
      <c r="Q1372" s="430"/>
      <c r="T1372" s="418"/>
    </row>
    <row r="1373" spans="3:20" ht="15" hidden="1" outlineLevel="2">
      <c r="C1373" s="1464"/>
      <c r="D1373" s="1464"/>
      <c r="E1373" s="1459"/>
      <c r="F1373" s="1462"/>
      <c r="G1373" s="368"/>
      <c r="H1373" s="335" t="s">
        <v>4</v>
      </c>
      <c r="I1373" s="336"/>
      <c r="J1373" s="336"/>
      <c r="K1373" s="336"/>
      <c r="L1373" s="336"/>
      <c r="M1373" s="363"/>
      <c r="N1373" s="336"/>
      <c r="O1373" s="338">
        <f t="shared" si="622"/>
        <v>0</v>
      </c>
      <c r="P1373" s="336"/>
      <c r="Q1373" s="430"/>
      <c r="T1373" s="418"/>
    </row>
    <row r="1374" spans="3:20" ht="15" hidden="1" outlineLevel="2">
      <c r="C1374" s="1464"/>
      <c r="D1374" s="1464"/>
      <c r="E1374" s="1459"/>
      <c r="F1374" s="1462"/>
      <c r="G1374" s="368"/>
      <c r="H1374" s="335" t="s">
        <v>4</v>
      </c>
      <c r="I1374" s="336"/>
      <c r="J1374" s="336"/>
      <c r="K1374" s="336"/>
      <c r="L1374" s="336"/>
      <c r="M1374" s="363"/>
      <c r="N1374" s="336"/>
      <c r="O1374" s="338">
        <f t="shared" si="622"/>
        <v>0</v>
      </c>
      <c r="P1374" s="336"/>
      <c r="Q1374" s="430"/>
      <c r="T1374" s="418"/>
    </row>
    <row r="1375" spans="3:20" ht="15" hidden="1" outlineLevel="2">
      <c r="C1375" s="1464"/>
      <c r="D1375" s="1464"/>
      <c r="E1375" s="1459"/>
      <c r="F1375" s="1462"/>
      <c r="G1375" s="1454" t="s">
        <v>45</v>
      </c>
      <c r="H1375" s="1455"/>
      <c r="I1375" s="359">
        <f>SUM(I1347:I1374)</f>
        <v>0</v>
      </c>
      <c r="J1375" s="359">
        <f>SUM(J1347:J1374)</f>
        <v>0</v>
      </c>
      <c r="K1375" s="359">
        <f t="shared" ref="K1375:L1375" si="627">SUM(K1363:K1374)</f>
        <v>0</v>
      </c>
      <c r="L1375" s="359">
        <f t="shared" si="627"/>
        <v>0</v>
      </c>
      <c r="M1375" s="360" t="s">
        <v>43</v>
      </c>
      <c r="N1375" s="359">
        <f>SUM(N1347:N1374)</f>
        <v>0</v>
      </c>
      <c r="O1375" s="361">
        <f t="shared" si="622"/>
        <v>0</v>
      </c>
      <c r="P1375" s="359">
        <f>SUM(P1347:P1374)</f>
        <v>0</v>
      </c>
      <c r="Q1375" s="435">
        <f>SUM(Q1347:Q1374)</f>
        <v>0</v>
      </c>
      <c r="T1375" s="418"/>
    </row>
    <row r="1376" spans="3:20" ht="15" hidden="1" outlineLevel="2">
      <c r="C1376" s="1464"/>
      <c r="D1376" s="1464"/>
      <c r="E1376" s="1459"/>
      <c r="F1376" s="1462"/>
      <c r="G1376" s="353"/>
      <c r="H1376" s="340" t="s">
        <v>29</v>
      </c>
      <c r="I1376" s="341"/>
      <c r="J1376" s="336"/>
      <c r="K1376" s="336"/>
      <c r="L1376" s="336"/>
      <c r="M1376" s="363"/>
      <c r="N1376" s="336"/>
      <c r="O1376" s="338">
        <f t="shared" si="622"/>
        <v>0</v>
      </c>
      <c r="P1376" s="336"/>
      <c r="Q1376" s="430"/>
      <c r="T1376" s="418"/>
    </row>
    <row r="1377" spans="3:20" ht="15" hidden="1" outlineLevel="2">
      <c r="C1377" s="1464"/>
      <c r="D1377" s="1464"/>
      <c r="E1377" s="1459"/>
      <c r="F1377" s="1462"/>
      <c r="G1377" s="353"/>
      <c r="H1377" s="340" t="s">
        <v>29</v>
      </c>
      <c r="I1377" s="341"/>
      <c r="J1377" s="336"/>
      <c r="K1377" s="336"/>
      <c r="L1377" s="336"/>
      <c r="M1377" s="363"/>
      <c r="N1377" s="336"/>
      <c r="O1377" s="338">
        <f t="shared" si="622"/>
        <v>0</v>
      </c>
      <c r="P1377" s="336"/>
      <c r="Q1377" s="430"/>
      <c r="T1377" s="418"/>
    </row>
    <row r="1378" spans="3:20" ht="15" hidden="1" outlineLevel="2">
      <c r="C1378" s="1464"/>
      <c r="D1378" s="1464"/>
      <c r="E1378" s="1459"/>
      <c r="F1378" s="1462"/>
      <c r="G1378" s="353"/>
      <c r="H1378" s="340" t="s">
        <v>29</v>
      </c>
      <c r="I1378" s="341"/>
      <c r="J1378" s="336"/>
      <c r="K1378" s="336"/>
      <c r="L1378" s="336"/>
      <c r="M1378" s="363"/>
      <c r="N1378" s="336"/>
      <c r="O1378" s="338">
        <f t="shared" si="622"/>
        <v>0</v>
      </c>
      <c r="P1378" s="336"/>
      <c r="Q1378" s="430"/>
      <c r="T1378" s="418"/>
    </row>
    <row r="1379" spans="3:20" ht="15" hidden="1" outlineLevel="2">
      <c r="C1379" s="1464"/>
      <c r="D1379" s="1464"/>
      <c r="E1379" s="1459"/>
      <c r="F1379" s="1462"/>
      <c r="G1379" s="353"/>
      <c r="H1379" s="340" t="s">
        <v>29</v>
      </c>
      <c r="I1379" s="341"/>
      <c r="J1379" s="336"/>
      <c r="K1379" s="336"/>
      <c r="L1379" s="336"/>
      <c r="M1379" s="363"/>
      <c r="N1379" s="336"/>
      <c r="O1379" s="338">
        <f t="shared" si="622"/>
        <v>0</v>
      </c>
      <c r="P1379" s="336"/>
      <c r="Q1379" s="430"/>
      <c r="T1379" s="418"/>
    </row>
    <row r="1380" spans="3:20" ht="15" hidden="1" outlineLevel="2">
      <c r="C1380" s="1464"/>
      <c r="D1380" s="1464"/>
      <c r="E1380" s="1459"/>
      <c r="F1380" s="1462"/>
      <c r="G1380" s="353"/>
      <c r="H1380" s="340" t="s">
        <v>29</v>
      </c>
      <c r="I1380" s="341"/>
      <c r="J1380" s="336"/>
      <c r="K1380" s="336"/>
      <c r="L1380" s="336"/>
      <c r="M1380" s="363"/>
      <c r="N1380" s="336"/>
      <c r="O1380" s="338">
        <f t="shared" si="622"/>
        <v>0</v>
      </c>
      <c r="P1380" s="336"/>
      <c r="Q1380" s="430"/>
      <c r="T1380" s="418"/>
    </row>
    <row r="1381" spans="3:20" ht="15" hidden="1" outlineLevel="2">
      <c r="C1381" s="1464"/>
      <c r="D1381" s="1464"/>
      <c r="E1381" s="1459"/>
      <c r="F1381" s="1462"/>
      <c r="G1381" s="353"/>
      <c r="H1381" s="340" t="s">
        <v>29</v>
      </c>
      <c r="I1381" s="341"/>
      <c r="J1381" s="336"/>
      <c r="K1381" s="336"/>
      <c r="L1381" s="336"/>
      <c r="M1381" s="363"/>
      <c r="N1381" s="336"/>
      <c r="O1381" s="338">
        <f t="shared" si="622"/>
        <v>0</v>
      </c>
      <c r="P1381" s="336"/>
      <c r="Q1381" s="430"/>
      <c r="T1381" s="418"/>
    </row>
    <row r="1382" spans="3:20" ht="15" hidden="1" outlineLevel="2">
      <c r="C1382" s="1464"/>
      <c r="D1382" s="1464"/>
      <c r="E1382" s="1459"/>
      <c r="F1382" s="1462"/>
      <c r="G1382" s="353"/>
      <c r="H1382" s="340" t="s">
        <v>29</v>
      </c>
      <c r="I1382" s="341"/>
      <c r="J1382" s="336"/>
      <c r="K1382" s="336"/>
      <c r="L1382" s="336"/>
      <c r="M1382" s="363"/>
      <c r="N1382" s="336"/>
      <c r="O1382" s="338">
        <f t="shared" si="622"/>
        <v>0</v>
      </c>
      <c r="P1382" s="336"/>
      <c r="Q1382" s="430"/>
      <c r="T1382" s="418"/>
    </row>
    <row r="1383" spans="3:20" ht="15" hidden="1" outlineLevel="2">
      <c r="C1383" s="1464"/>
      <c r="D1383" s="1464"/>
      <c r="E1383" s="1459"/>
      <c r="F1383" s="1462"/>
      <c r="G1383" s="353"/>
      <c r="H1383" s="340" t="s">
        <v>29</v>
      </c>
      <c r="I1383" s="341"/>
      <c r="J1383" s="336"/>
      <c r="K1383" s="336"/>
      <c r="L1383" s="336"/>
      <c r="M1383" s="363"/>
      <c r="N1383" s="336"/>
      <c r="O1383" s="338">
        <f t="shared" si="622"/>
        <v>0</v>
      </c>
      <c r="P1383" s="336"/>
      <c r="Q1383" s="430"/>
      <c r="T1383" s="418"/>
    </row>
    <row r="1384" spans="3:20" ht="15" hidden="1" outlineLevel="2">
      <c r="C1384" s="1464"/>
      <c r="D1384" s="1464"/>
      <c r="E1384" s="1459"/>
      <c r="F1384" s="1462"/>
      <c r="G1384" s="353"/>
      <c r="H1384" s="340" t="s">
        <v>29</v>
      </c>
      <c r="I1384" s="341"/>
      <c r="J1384" s="336"/>
      <c r="K1384" s="336"/>
      <c r="L1384" s="336"/>
      <c r="M1384" s="363"/>
      <c r="N1384" s="336"/>
      <c r="O1384" s="338">
        <f t="shared" si="622"/>
        <v>0</v>
      </c>
      <c r="P1384" s="336"/>
      <c r="Q1384" s="430"/>
      <c r="T1384" s="418"/>
    </row>
    <row r="1385" spans="3:20" ht="15" hidden="1" outlineLevel="2">
      <c r="C1385" s="1464"/>
      <c r="D1385" s="1464"/>
      <c r="E1385" s="1459"/>
      <c r="F1385" s="1462"/>
      <c r="G1385" s="353"/>
      <c r="H1385" s="340" t="s">
        <v>29</v>
      </c>
      <c r="I1385" s="341"/>
      <c r="J1385" s="336"/>
      <c r="K1385" s="336"/>
      <c r="L1385" s="336"/>
      <c r="M1385" s="363"/>
      <c r="N1385" s="336"/>
      <c r="O1385" s="338">
        <f t="shared" si="622"/>
        <v>0</v>
      </c>
      <c r="P1385" s="336"/>
      <c r="Q1385" s="430"/>
      <c r="T1385" s="418"/>
    </row>
    <row r="1386" spans="3:20" ht="15" hidden="1" outlineLevel="2">
      <c r="C1386" s="1464"/>
      <c r="D1386" s="1464"/>
      <c r="E1386" s="1459"/>
      <c r="F1386" s="1462"/>
      <c r="G1386" s="353"/>
      <c r="H1386" s="340" t="s">
        <v>29</v>
      </c>
      <c r="I1386" s="341"/>
      <c r="J1386" s="336"/>
      <c r="K1386" s="336"/>
      <c r="L1386" s="336"/>
      <c r="M1386" s="363"/>
      <c r="N1386" s="336"/>
      <c r="O1386" s="338">
        <f t="shared" si="622"/>
        <v>0</v>
      </c>
      <c r="P1386" s="336"/>
      <c r="Q1386" s="430"/>
      <c r="T1386" s="418"/>
    </row>
    <row r="1387" spans="3:20" ht="15" hidden="1" outlineLevel="2">
      <c r="C1387" s="1464"/>
      <c r="D1387" s="1464"/>
      <c r="E1387" s="1459"/>
      <c r="F1387" s="1462"/>
      <c r="G1387" s="353"/>
      <c r="H1387" s="340" t="s">
        <v>29</v>
      </c>
      <c r="I1387" s="341"/>
      <c r="J1387" s="336"/>
      <c r="K1387" s="336"/>
      <c r="L1387" s="336"/>
      <c r="M1387" s="363"/>
      <c r="N1387" s="336"/>
      <c r="O1387" s="338">
        <f t="shared" si="622"/>
        <v>0</v>
      </c>
      <c r="P1387" s="336"/>
      <c r="Q1387" s="430"/>
      <c r="T1387" s="418"/>
    </row>
    <row r="1388" spans="3:20" ht="15" hidden="1" outlineLevel="2">
      <c r="C1388" s="1464"/>
      <c r="D1388" s="1464"/>
      <c r="E1388" s="1459"/>
      <c r="F1388" s="1462"/>
      <c r="G1388" s="1454" t="s">
        <v>50</v>
      </c>
      <c r="H1388" s="1455"/>
      <c r="I1388" s="359">
        <f>SUM(I1376:I1387)</f>
        <v>0</v>
      </c>
      <c r="J1388" s="359">
        <f t="shared" ref="J1388" si="628">SUM(J1376:J1387)</f>
        <v>0</v>
      </c>
      <c r="K1388" s="359">
        <f>SUM(K1376:K1387)</f>
        <v>0</v>
      </c>
      <c r="L1388" s="359">
        <f>SUM(L1376:L1387)</f>
        <v>0</v>
      </c>
      <c r="M1388" s="360" t="s">
        <v>43</v>
      </c>
      <c r="N1388" s="359">
        <f>SUM(N1376:N1387)</f>
        <v>0</v>
      </c>
      <c r="O1388" s="361">
        <f t="shared" si="622"/>
        <v>0</v>
      </c>
      <c r="P1388" s="359">
        <f t="shared" ref="P1388:Q1388" si="629">SUM(P1376:P1387)</f>
        <v>0</v>
      </c>
      <c r="Q1388" s="435">
        <f t="shared" si="629"/>
        <v>0</v>
      </c>
      <c r="T1388" s="418"/>
    </row>
    <row r="1389" spans="3:20" ht="15" hidden="1" outlineLevel="2">
      <c r="C1389" s="1464"/>
      <c r="D1389" s="1464"/>
      <c r="E1389" s="1459"/>
      <c r="F1389" s="1462"/>
      <c r="G1389" s="353"/>
      <c r="H1389" s="340" t="s">
        <v>22</v>
      </c>
      <c r="I1389" s="341"/>
      <c r="J1389" s="341">
        <v>0</v>
      </c>
      <c r="K1389" s="341"/>
      <c r="L1389" s="341"/>
      <c r="M1389" s="410"/>
      <c r="N1389" s="341"/>
      <c r="O1389" s="357">
        <f t="shared" si="622"/>
        <v>0</v>
      </c>
      <c r="P1389" s="341">
        <v>0</v>
      </c>
      <c r="Q1389" s="431">
        <v>0</v>
      </c>
      <c r="T1389" s="418"/>
    </row>
    <row r="1390" spans="3:20" ht="15" hidden="1" outlineLevel="2">
      <c r="C1390" s="1464"/>
      <c r="D1390" s="1464"/>
      <c r="E1390" s="1459"/>
      <c r="F1390" s="1462"/>
      <c r="G1390" s="353"/>
      <c r="H1390" s="340" t="s">
        <v>22</v>
      </c>
      <c r="I1390" s="341"/>
      <c r="J1390" s="341">
        <v>0</v>
      </c>
      <c r="K1390" s="341"/>
      <c r="L1390" s="341"/>
      <c r="M1390" s="410"/>
      <c r="N1390" s="341"/>
      <c r="O1390" s="357">
        <f t="shared" si="622"/>
        <v>0</v>
      </c>
      <c r="P1390" s="341">
        <v>0</v>
      </c>
      <c r="Q1390" s="431">
        <v>0</v>
      </c>
      <c r="T1390" s="418"/>
    </row>
    <row r="1391" spans="3:20" ht="15" hidden="1" outlineLevel="2">
      <c r="C1391" s="1464"/>
      <c r="D1391" s="1464"/>
      <c r="E1391" s="1459"/>
      <c r="F1391" s="1462"/>
      <c r="G1391" s="353"/>
      <c r="H1391" s="340" t="s">
        <v>22</v>
      </c>
      <c r="I1391" s="341"/>
      <c r="J1391" s="341">
        <v>0</v>
      </c>
      <c r="K1391" s="341"/>
      <c r="L1391" s="341"/>
      <c r="M1391" s="410"/>
      <c r="N1391" s="341"/>
      <c r="O1391" s="357">
        <f t="shared" si="622"/>
        <v>0</v>
      </c>
      <c r="P1391" s="341">
        <v>0</v>
      </c>
      <c r="Q1391" s="431">
        <v>0</v>
      </c>
      <c r="T1391" s="418"/>
    </row>
    <row r="1392" spans="3:20" ht="15" hidden="1" outlineLevel="2">
      <c r="C1392" s="1464"/>
      <c r="D1392" s="1464"/>
      <c r="E1392" s="1459"/>
      <c r="F1392" s="1462"/>
      <c r="G1392" s="353"/>
      <c r="H1392" s="340" t="s">
        <v>22</v>
      </c>
      <c r="I1392" s="341"/>
      <c r="J1392" s="341">
        <v>0</v>
      </c>
      <c r="K1392" s="341"/>
      <c r="L1392" s="341"/>
      <c r="M1392" s="410"/>
      <c r="N1392" s="341"/>
      <c r="O1392" s="357">
        <f t="shared" si="622"/>
        <v>0</v>
      </c>
      <c r="P1392" s="341">
        <v>0</v>
      </c>
      <c r="Q1392" s="431">
        <v>0</v>
      </c>
      <c r="T1392" s="418"/>
    </row>
    <row r="1393" spans="3:20" ht="15" hidden="1" outlineLevel="2">
      <c r="C1393" s="1464"/>
      <c r="D1393" s="1464"/>
      <c r="E1393" s="1459"/>
      <c r="F1393" s="1462"/>
      <c r="G1393" s="353"/>
      <c r="H1393" s="340" t="s">
        <v>22</v>
      </c>
      <c r="I1393" s="341"/>
      <c r="J1393" s="341">
        <v>0</v>
      </c>
      <c r="K1393" s="341"/>
      <c r="L1393" s="341"/>
      <c r="M1393" s="410"/>
      <c r="N1393" s="341"/>
      <c r="O1393" s="357">
        <f t="shared" si="622"/>
        <v>0</v>
      </c>
      <c r="P1393" s="341">
        <v>0</v>
      </c>
      <c r="Q1393" s="431">
        <v>0</v>
      </c>
      <c r="T1393" s="418"/>
    </row>
    <row r="1394" spans="3:20" ht="15" hidden="1" outlineLevel="2">
      <c r="C1394" s="1464"/>
      <c r="D1394" s="1464"/>
      <c r="E1394" s="1459"/>
      <c r="F1394" s="1462"/>
      <c r="G1394" s="353"/>
      <c r="H1394" s="340" t="s">
        <v>22</v>
      </c>
      <c r="I1394" s="341"/>
      <c r="J1394" s="341">
        <v>0</v>
      </c>
      <c r="K1394" s="341"/>
      <c r="L1394" s="341"/>
      <c r="M1394" s="410"/>
      <c r="N1394" s="341"/>
      <c r="O1394" s="357">
        <f t="shared" si="622"/>
        <v>0</v>
      </c>
      <c r="P1394" s="341">
        <v>0</v>
      </c>
      <c r="Q1394" s="431">
        <v>0</v>
      </c>
      <c r="T1394" s="418"/>
    </row>
    <row r="1395" spans="3:20" ht="15" hidden="1" outlineLevel="2">
      <c r="C1395" s="1464"/>
      <c r="D1395" s="1464"/>
      <c r="E1395" s="1459"/>
      <c r="F1395" s="1462"/>
      <c r="G1395" s="353"/>
      <c r="H1395" s="340" t="s">
        <v>22</v>
      </c>
      <c r="I1395" s="341"/>
      <c r="J1395" s="341">
        <v>0</v>
      </c>
      <c r="K1395" s="341"/>
      <c r="L1395" s="341"/>
      <c r="M1395" s="410"/>
      <c r="N1395" s="341"/>
      <c r="O1395" s="357">
        <f t="shared" si="622"/>
        <v>0</v>
      </c>
      <c r="P1395" s="341">
        <v>0</v>
      </c>
      <c r="Q1395" s="431">
        <v>0</v>
      </c>
      <c r="T1395" s="418"/>
    </row>
    <row r="1396" spans="3:20" ht="15" hidden="1" outlineLevel="2">
      <c r="C1396" s="1464"/>
      <c r="D1396" s="1464"/>
      <c r="E1396" s="1459"/>
      <c r="F1396" s="1462"/>
      <c r="G1396" s="353"/>
      <c r="H1396" s="340" t="s">
        <v>22</v>
      </c>
      <c r="I1396" s="341"/>
      <c r="J1396" s="341">
        <v>0</v>
      </c>
      <c r="K1396" s="341"/>
      <c r="L1396" s="341"/>
      <c r="M1396" s="410"/>
      <c r="N1396" s="341"/>
      <c r="O1396" s="357">
        <f t="shared" si="622"/>
        <v>0</v>
      </c>
      <c r="P1396" s="341">
        <v>0</v>
      </c>
      <c r="Q1396" s="431">
        <v>0</v>
      </c>
      <c r="T1396" s="418"/>
    </row>
    <row r="1397" spans="3:20" ht="15" hidden="1" outlineLevel="2">
      <c r="C1397" s="1464"/>
      <c r="D1397" s="1464"/>
      <c r="E1397" s="1459"/>
      <c r="F1397" s="1462"/>
      <c r="G1397" s="353"/>
      <c r="H1397" s="340" t="s">
        <v>22</v>
      </c>
      <c r="I1397" s="341"/>
      <c r="J1397" s="341">
        <v>0</v>
      </c>
      <c r="K1397" s="341"/>
      <c r="L1397" s="341"/>
      <c r="M1397" s="410"/>
      <c r="N1397" s="341"/>
      <c r="O1397" s="357">
        <f t="shared" si="622"/>
        <v>0</v>
      </c>
      <c r="P1397" s="341">
        <v>0</v>
      </c>
      <c r="Q1397" s="431">
        <v>0</v>
      </c>
      <c r="T1397" s="418"/>
    </row>
    <row r="1398" spans="3:20" ht="15" hidden="1" outlineLevel="2">
      <c r="C1398" s="1464"/>
      <c r="D1398" s="1464"/>
      <c r="E1398" s="1459"/>
      <c r="F1398" s="1462"/>
      <c r="G1398" s="353"/>
      <c r="H1398" s="340" t="s">
        <v>22</v>
      </c>
      <c r="I1398" s="341"/>
      <c r="J1398" s="341">
        <v>0</v>
      </c>
      <c r="K1398" s="341"/>
      <c r="L1398" s="341"/>
      <c r="M1398" s="410"/>
      <c r="N1398" s="341"/>
      <c r="O1398" s="357">
        <f t="shared" si="622"/>
        <v>0</v>
      </c>
      <c r="P1398" s="341">
        <v>0</v>
      </c>
      <c r="Q1398" s="431">
        <v>0</v>
      </c>
      <c r="T1398" s="418"/>
    </row>
    <row r="1399" spans="3:20" ht="15" hidden="1" outlineLevel="2">
      <c r="C1399" s="1464"/>
      <c r="D1399" s="1464"/>
      <c r="E1399" s="1459"/>
      <c r="F1399" s="1462"/>
      <c r="G1399" s="353"/>
      <c r="H1399" s="340" t="s">
        <v>22</v>
      </c>
      <c r="I1399" s="341"/>
      <c r="J1399" s="341">
        <v>0</v>
      </c>
      <c r="K1399" s="341"/>
      <c r="L1399" s="341"/>
      <c r="M1399" s="410"/>
      <c r="N1399" s="341"/>
      <c r="O1399" s="357">
        <f t="shared" si="622"/>
        <v>0</v>
      </c>
      <c r="P1399" s="341">
        <v>0</v>
      </c>
      <c r="Q1399" s="431">
        <v>0</v>
      </c>
      <c r="T1399" s="418"/>
    </row>
    <row r="1400" spans="3:20" ht="15" hidden="1" outlineLevel="2">
      <c r="C1400" s="1464"/>
      <c r="D1400" s="1464"/>
      <c r="E1400" s="1459"/>
      <c r="F1400" s="1462"/>
      <c r="G1400" s="353"/>
      <c r="H1400" s="340" t="s">
        <v>22</v>
      </c>
      <c r="I1400" s="341"/>
      <c r="J1400" s="341">
        <v>0</v>
      </c>
      <c r="K1400" s="341"/>
      <c r="L1400" s="341"/>
      <c r="M1400" s="410"/>
      <c r="N1400" s="341"/>
      <c r="O1400" s="357">
        <f t="shared" si="622"/>
        <v>0</v>
      </c>
      <c r="P1400" s="341">
        <v>0</v>
      </c>
      <c r="Q1400" s="431">
        <v>0</v>
      </c>
      <c r="T1400" s="418"/>
    </row>
    <row r="1401" spans="3:20" ht="15" hidden="1" outlineLevel="2">
      <c r="C1401" s="1464"/>
      <c r="D1401" s="1464"/>
      <c r="E1401" s="1459"/>
      <c r="F1401" s="1462"/>
      <c r="G1401" s="353"/>
      <c r="H1401" s="340" t="s">
        <v>22</v>
      </c>
      <c r="I1401" s="341"/>
      <c r="J1401" s="341">
        <v>0</v>
      </c>
      <c r="K1401" s="341"/>
      <c r="L1401" s="341"/>
      <c r="M1401" s="410"/>
      <c r="N1401" s="341"/>
      <c r="O1401" s="357">
        <f t="shared" si="622"/>
        <v>0</v>
      </c>
      <c r="P1401" s="341">
        <v>0</v>
      </c>
      <c r="Q1401" s="431">
        <v>0</v>
      </c>
      <c r="T1401" s="418"/>
    </row>
    <row r="1402" spans="3:20" ht="15" hidden="1" outlineLevel="2">
      <c r="C1402" s="1464"/>
      <c r="D1402" s="1464"/>
      <c r="E1402" s="1459"/>
      <c r="F1402" s="1462"/>
      <c r="G1402" s="353"/>
      <c r="H1402" s="340" t="s">
        <v>22</v>
      </c>
      <c r="I1402" s="341"/>
      <c r="J1402" s="341">
        <v>0</v>
      </c>
      <c r="K1402" s="341"/>
      <c r="L1402" s="341"/>
      <c r="M1402" s="410"/>
      <c r="N1402" s="341"/>
      <c r="O1402" s="357">
        <f t="shared" si="622"/>
        <v>0</v>
      </c>
      <c r="P1402" s="341">
        <v>0</v>
      </c>
      <c r="Q1402" s="431">
        <v>0</v>
      </c>
      <c r="T1402" s="418"/>
    </row>
    <row r="1403" spans="3:20" ht="15" hidden="1" outlineLevel="2">
      <c r="C1403" s="1464"/>
      <c r="D1403" s="1464"/>
      <c r="E1403" s="1459"/>
      <c r="F1403" s="1462"/>
      <c r="G1403" s="353"/>
      <c r="H1403" s="340" t="s">
        <v>22</v>
      </c>
      <c r="I1403" s="341"/>
      <c r="J1403" s="341">
        <v>0</v>
      </c>
      <c r="K1403" s="341"/>
      <c r="L1403" s="341"/>
      <c r="M1403" s="410"/>
      <c r="N1403" s="341"/>
      <c r="O1403" s="357">
        <f t="shared" si="622"/>
        <v>0</v>
      </c>
      <c r="P1403" s="341">
        <v>0</v>
      </c>
      <c r="Q1403" s="431">
        <v>0</v>
      </c>
      <c r="T1403" s="418"/>
    </row>
    <row r="1404" spans="3:20" ht="15" hidden="1" outlineLevel="2">
      <c r="C1404" s="1464"/>
      <c r="D1404" s="1464"/>
      <c r="E1404" s="1459"/>
      <c r="F1404" s="1462"/>
      <c r="G1404" s="353"/>
      <c r="H1404" s="340" t="s">
        <v>22</v>
      </c>
      <c r="I1404" s="341"/>
      <c r="J1404" s="341">
        <v>0</v>
      </c>
      <c r="K1404" s="341"/>
      <c r="L1404" s="341"/>
      <c r="M1404" s="410"/>
      <c r="N1404" s="341"/>
      <c r="O1404" s="357">
        <f t="shared" si="622"/>
        <v>0</v>
      </c>
      <c r="P1404" s="341">
        <v>0</v>
      </c>
      <c r="Q1404" s="431">
        <v>0</v>
      </c>
      <c r="T1404" s="418"/>
    </row>
    <row r="1405" spans="3:20" ht="15" hidden="1" outlineLevel="2">
      <c r="C1405" s="1464"/>
      <c r="D1405" s="1464"/>
      <c r="E1405" s="1459"/>
      <c r="F1405" s="1462"/>
      <c r="G1405" s="353"/>
      <c r="H1405" s="340" t="s">
        <v>22</v>
      </c>
      <c r="I1405" s="341"/>
      <c r="J1405" s="341">
        <v>0</v>
      </c>
      <c r="K1405" s="341"/>
      <c r="L1405" s="341"/>
      <c r="M1405" s="410"/>
      <c r="N1405" s="341"/>
      <c r="O1405" s="357">
        <f t="shared" si="622"/>
        <v>0</v>
      </c>
      <c r="P1405" s="341">
        <v>0</v>
      </c>
      <c r="Q1405" s="431">
        <v>0</v>
      </c>
      <c r="T1405" s="418"/>
    </row>
    <row r="1406" spans="3:20" ht="15" hidden="1" outlineLevel="2">
      <c r="C1406" s="1464"/>
      <c r="D1406" s="1464"/>
      <c r="E1406" s="1459"/>
      <c r="F1406" s="1462"/>
      <c r="G1406" s="353"/>
      <c r="H1406" s="340" t="s">
        <v>22</v>
      </c>
      <c r="I1406" s="341"/>
      <c r="J1406" s="341">
        <v>0</v>
      </c>
      <c r="K1406" s="341"/>
      <c r="L1406" s="341"/>
      <c r="M1406" s="410"/>
      <c r="N1406" s="341"/>
      <c r="O1406" s="357">
        <f t="shared" si="622"/>
        <v>0</v>
      </c>
      <c r="P1406" s="341">
        <v>0</v>
      </c>
      <c r="Q1406" s="431">
        <v>0</v>
      </c>
      <c r="T1406" s="418"/>
    </row>
    <row r="1407" spans="3:20" ht="15" hidden="1" outlineLevel="2">
      <c r="C1407" s="1464"/>
      <c r="D1407" s="1464"/>
      <c r="E1407" s="1459"/>
      <c r="F1407" s="1462"/>
      <c r="G1407" s="353"/>
      <c r="H1407" s="340" t="s">
        <v>22</v>
      </c>
      <c r="I1407" s="341"/>
      <c r="J1407" s="341">
        <v>0</v>
      </c>
      <c r="K1407" s="341"/>
      <c r="L1407" s="341"/>
      <c r="M1407" s="410"/>
      <c r="N1407" s="341"/>
      <c r="O1407" s="357">
        <f t="shared" si="622"/>
        <v>0</v>
      </c>
      <c r="P1407" s="341">
        <v>0</v>
      </c>
      <c r="Q1407" s="431">
        <v>0</v>
      </c>
      <c r="T1407" s="418"/>
    </row>
    <row r="1408" spans="3:20" ht="15" hidden="1" outlineLevel="2">
      <c r="C1408" s="1464"/>
      <c r="D1408" s="1464"/>
      <c r="E1408" s="1459"/>
      <c r="F1408" s="1462"/>
      <c r="G1408" s="1454" t="s">
        <v>44</v>
      </c>
      <c r="H1408" s="1455"/>
      <c r="I1408" s="365">
        <f>SUM(I1389:I1407)</f>
        <v>0</v>
      </c>
      <c r="J1408" s="365">
        <f t="shared" ref="J1408:K1408" si="630">SUM(J1389:J1407)</f>
        <v>0</v>
      </c>
      <c r="K1408" s="365">
        <f t="shared" si="630"/>
        <v>0</v>
      </c>
      <c r="L1408" s="365">
        <f t="shared" ref="L1408" si="631">SUM(L1389:L1407)</f>
        <v>0</v>
      </c>
      <c r="M1408" s="366" t="s">
        <v>43</v>
      </c>
      <c r="N1408" s="365">
        <f t="shared" ref="N1408" si="632">SUM(N1389:N1407)</f>
        <v>0</v>
      </c>
      <c r="O1408" s="361">
        <f t="shared" ref="O1408:O1471" si="633">IF(N1408=0,0,N1408/J1408)</f>
        <v>0</v>
      </c>
      <c r="P1408" s="365">
        <f t="shared" ref="P1408:Q1408" si="634">SUM(P1389:P1407)</f>
        <v>0</v>
      </c>
      <c r="Q1408" s="436">
        <f t="shared" si="634"/>
        <v>0</v>
      </c>
      <c r="T1408" s="418"/>
    </row>
    <row r="1409" spans="3:26" ht="15" hidden="1" outlineLevel="2">
      <c r="C1409" s="1464"/>
      <c r="D1409" s="1464"/>
      <c r="E1409" s="1459"/>
      <c r="F1409" s="1462"/>
      <c r="G1409" s="350"/>
      <c r="H1409" s="335" t="s">
        <v>4</v>
      </c>
      <c r="I1409" s="336">
        <f>I1375</f>
        <v>0</v>
      </c>
      <c r="J1409" s="336">
        <f>J1375</f>
        <v>0</v>
      </c>
      <c r="K1409" s="336">
        <f>K1375</f>
        <v>0</v>
      </c>
      <c r="L1409" s="336">
        <f>L1375</f>
        <v>0</v>
      </c>
      <c r="M1409" s="337" t="s">
        <v>49</v>
      </c>
      <c r="N1409" s="336">
        <f>N1375</f>
        <v>0</v>
      </c>
      <c r="O1409" s="338">
        <f t="shared" si="633"/>
        <v>0</v>
      </c>
      <c r="P1409" s="336">
        <f>P1375</f>
        <v>0</v>
      </c>
      <c r="Q1409" s="430">
        <f>Q1375</f>
        <v>0</v>
      </c>
      <c r="T1409" s="418"/>
    </row>
    <row r="1410" spans="3:26" ht="15" hidden="1" outlineLevel="2">
      <c r="C1410" s="1464"/>
      <c r="D1410" s="1464"/>
      <c r="E1410" s="1459"/>
      <c r="F1410" s="1462"/>
      <c r="G1410" s="350"/>
      <c r="H1410" s="335" t="s">
        <v>29</v>
      </c>
      <c r="I1410" s="336">
        <f>I1388</f>
        <v>0</v>
      </c>
      <c r="J1410" s="336">
        <f t="shared" ref="J1410:N1410" si="635">J1388</f>
        <v>0</v>
      </c>
      <c r="K1410" s="336">
        <f t="shared" si="635"/>
        <v>0</v>
      </c>
      <c r="L1410" s="336">
        <f t="shared" ref="L1410" si="636">L1388</f>
        <v>0</v>
      </c>
      <c r="M1410" s="336" t="str">
        <f t="shared" si="635"/>
        <v>Cash Security</v>
      </c>
      <c r="N1410" s="336">
        <f t="shared" si="635"/>
        <v>0</v>
      </c>
      <c r="O1410" s="338">
        <f t="shared" si="633"/>
        <v>0</v>
      </c>
      <c r="P1410" s="336">
        <f t="shared" ref="P1410:Q1410" si="637">P1388</f>
        <v>0</v>
      </c>
      <c r="Q1410" s="430">
        <f t="shared" si="637"/>
        <v>0</v>
      </c>
      <c r="T1410" s="418"/>
    </row>
    <row r="1411" spans="3:26" ht="15" hidden="1" outlineLevel="2">
      <c r="C1411" s="1464"/>
      <c r="D1411" s="1464"/>
      <c r="E1411" s="1459"/>
      <c r="F1411" s="1462"/>
      <c r="G1411" s="350"/>
      <c r="H1411" s="340" t="s">
        <v>22</v>
      </c>
      <c r="I1411" s="336">
        <f>I1408</f>
        <v>0</v>
      </c>
      <c r="J1411" s="336">
        <f t="shared" ref="J1411:N1411" si="638">J1408</f>
        <v>0</v>
      </c>
      <c r="K1411" s="336">
        <f t="shared" si="638"/>
        <v>0</v>
      </c>
      <c r="L1411" s="336">
        <f t="shared" ref="L1411" si="639">L1408</f>
        <v>0</v>
      </c>
      <c r="M1411" s="336" t="str">
        <f t="shared" si="638"/>
        <v>Cash Security</v>
      </c>
      <c r="N1411" s="336">
        <f t="shared" si="638"/>
        <v>0</v>
      </c>
      <c r="O1411" s="338">
        <f t="shared" si="633"/>
        <v>0</v>
      </c>
      <c r="P1411" s="336">
        <f t="shared" ref="P1411:Q1411" si="640">P1408</f>
        <v>0</v>
      </c>
      <c r="Q1411" s="430">
        <f t="shared" si="640"/>
        <v>0</v>
      </c>
      <c r="T1411" s="418"/>
    </row>
    <row r="1412" spans="3:26" ht="15" hidden="1" outlineLevel="1" collapsed="1">
      <c r="C1412" s="1464"/>
      <c r="D1412" s="1464"/>
      <c r="E1412" s="1459"/>
      <c r="F1412" s="1463"/>
      <c r="G1412" s="1454" t="s">
        <v>177</v>
      </c>
      <c r="H1412" s="1455"/>
      <c r="I1412" s="369">
        <f>(I1409/usdrate)+(I1410*eurrate)+I1411</f>
        <v>0</v>
      </c>
      <c r="J1412" s="369">
        <f>(J1409/usdrate)+(J1410*eurrate)+J1411</f>
        <v>0</v>
      </c>
      <c r="K1412" s="369">
        <f>(K1409/usdrate)+(K1410*eurrate)+K1411</f>
        <v>0</v>
      </c>
      <c r="L1412" s="369">
        <f>(L1409/usdrate)+(L1410*eurrate)+L1411</f>
        <v>0</v>
      </c>
      <c r="M1412" s="360" t="s">
        <v>178</v>
      </c>
      <c r="N1412" s="369">
        <f>(N1409/usdrate)+(N1410*eurrate)+N1411</f>
        <v>0</v>
      </c>
      <c r="O1412" s="367">
        <f t="shared" si="633"/>
        <v>0</v>
      </c>
      <c r="P1412" s="369">
        <f>(P1409/usdrate)+(P1410*eurrate)+P1411</f>
        <v>0</v>
      </c>
      <c r="Q1412" s="437">
        <f>(Q1409/usdrate)+(Q1410*eurrate)+Q1411</f>
        <v>0</v>
      </c>
      <c r="T1412" s="418"/>
    </row>
    <row r="1413" spans="3:26" ht="15" hidden="1" outlineLevel="2">
      <c r="C1413" s="1464"/>
      <c r="D1413" s="1464"/>
      <c r="E1413" s="1459"/>
      <c r="F1413" s="1461" t="s">
        <v>169</v>
      </c>
      <c r="G1413" s="353"/>
      <c r="H1413" s="340" t="s">
        <v>4</v>
      </c>
      <c r="I1413" s="341"/>
      <c r="J1413" s="341"/>
      <c r="K1413" s="370"/>
      <c r="L1413" s="370"/>
      <c r="M1413" s="337"/>
      <c r="N1413" s="336"/>
      <c r="O1413" s="338">
        <f t="shared" si="633"/>
        <v>0</v>
      </c>
      <c r="P1413" s="341"/>
      <c r="Q1413" s="431"/>
      <c r="R1413" s="28">
        <f t="shared" ref="R1413:R1445" si="641">IF(H1413="USD",$B$4,IF(H1413="ILS",$B$2,IF(H1413="JOD",$B$3,"")))</f>
        <v>0.05</v>
      </c>
      <c r="S1413" s="17">
        <f t="shared" ref="S1413:S1422" si="642">R1413*J1413</f>
        <v>0</v>
      </c>
      <c r="T1413" s="419">
        <f t="shared" ref="T1413:T1422" si="643">R1413*I1413</f>
        <v>0</v>
      </c>
      <c r="U1413" s="43"/>
      <c r="V1413" s="44">
        <f t="shared" ref="V1413:V1422" si="644">U1413/12</f>
        <v>0</v>
      </c>
      <c r="W1413" s="35">
        <f t="shared" ref="W1413:W1422" si="645">T1413*V1413</f>
        <v>0</v>
      </c>
      <c r="X1413" s="35"/>
      <c r="Y1413" s="45">
        <f t="shared" ref="Y1413:Y1422" si="646">I1413+W1413</f>
        <v>0</v>
      </c>
      <c r="Z1413" s="45" t="e">
        <f t="shared" ref="Z1413:Z1422" si="647">Y1413/U1413</f>
        <v>#DIV/0!</v>
      </c>
    </row>
    <row r="1414" spans="3:26" ht="15" hidden="1" outlineLevel="2">
      <c r="C1414" s="1464"/>
      <c r="D1414" s="1464"/>
      <c r="E1414" s="1459"/>
      <c r="F1414" s="1462"/>
      <c r="G1414" s="343"/>
      <c r="H1414" s="340" t="s">
        <v>4</v>
      </c>
      <c r="I1414" s="341"/>
      <c r="J1414" s="341"/>
      <c r="K1414" s="341"/>
      <c r="L1414" s="341"/>
      <c r="M1414" s="342"/>
      <c r="N1414" s="341">
        <v>0</v>
      </c>
      <c r="O1414" s="338">
        <f t="shared" si="633"/>
        <v>0</v>
      </c>
      <c r="P1414" s="341"/>
      <c r="Q1414" s="431"/>
      <c r="R1414" s="28">
        <f t="shared" si="641"/>
        <v>0.05</v>
      </c>
      <c r="S1414" s="17">
        <f t="shared" si="642"/>
        <v>0</v>
      </c>
      <c r="T1414" s="419">
        <f t="shared" si="643"/>
        <v>0</v>
      </c>
      <c r="U1414" s="43"/>
      <c r="V1414" s="44">
        <f t="shared" si="644"/>
        <v>0</v>
      </c>
      <c r="W1414" s="35">
        <f t="shared" si="645"/>
        <v>0</v>
      </c>
      <c r="X1414" s="35"/>
      <c r="Y1414" s="45">
        <f t="shared" si="646"/>
        <v>0</v>
      </c>
      <c r="Z1414" s="45" t="e">
        <f t="shared" si="647"/>
        <v>#DIV/0!</v>
      </c>
    </row>
    <row r="1415" spans="3:26" ht="15" hidden="1" outlineLevel="2">
      <c r="C1415" s="1464"/>
      <c r="D1415" s="1464"/>
      <c r="E1415" s="1459"/>
      <c r="F1415" s="1462"/>
      <c r="G1415" s="343"/>
      <c r="H1415" s="340" t="s">
        <v>4</v>
      </c>
      <c r="I1415" s="341"/>
      <c r="J1415" s="341"/>
      <c r="K1415" s="341"/>
      <c r="L1415" s="341"/>
      <c r="M1415" s="337"/>
      <c r="N1415" s="341"/>
      <c r="O1415" s="338">
        <f t="shared" si="633"/>
        <v>0</v>
      </c>
      <c r="P1415" s="341"/>
      <c r="Q1415" s="431"/>
      <c r="R1415" s="28">
        <f t="shared" si="641"/>
        <v>0.05</v>
      </c>
      <c r="S1415" s="17">
        <f t="shared" si="642"/>
        <v>0</v>
      </c>
      <c r="T1415" s="419">
        <f t="shared" si="643"/>
        <v>0</v>
      </c>
      <c r="U1415" s="43"/>
      <c r="V1415" s="44">
        <f t="shared" si="644"/>
        <v>0</v>
      </c>
      <c r="W1415" s="35">
        <f t="shared" si="645"/>
        <v>0</v>
      </c>
      <c r="X1415" s="35"/>
      <c r="Y1415" s="45">
        <f t="shared" si="646"/>
        <v>0</v>
      </c>
      <c r="Z1415" s="45" t="e">
        <f t="shared" si="647"/>
        <v>#DIV/0!</v>
      </c>
    </row>
    <row r="1416" spans="3:26" ht="15" hidden="1" outlineLevel="2">
      <c r="C1416" s="1464"/>
      <c r="D1416" s="1464"/>
      <c r="E1416" s="1459"/>
      <c r="F1416" s="1462"/>
      <c r="G1416" s="343"/>
      <c r="H1416" s="340" t="s">
        <v>4</v>
      </c>
      <c r="I1416" s="341"/>
      <c r="J1416" s="341"/>
      <c r="K1416" s="341"/>
      <c r="L1416" s="341"/>
      <c r="M1416" s="342"/>
      <c r="N1416" s="341"/>
      <c r="O1416" s="338">
        <f t="shared" si="633"/>
        <v>0</v>
      </c>
      <c r="P1416" s="341"/>
      <c r="Q1416" s="431"/>
      <c r="R1416" s="28">
        <f t="shared" si="641"/>
        <v>0.05</v>
      </c>
      <c r="S1416" s="17">
        <f t="shared" si="642"/>
        <v>0</v>
      </c>
      <c r="T1416" s="419">
        <f t="shared" si="643"/>
        <v>0</v>
      </c>
      <c r="U1416" s="43"/>
      <c r="V1416" s="44">
        <f t="shared" si="644"/>
        <v>0</v>
      </c>
      <c r="W1416" s="35">
        <f t="shared" si="645"/>
        <v>0</v>
      </c>
      <c r="X1416" s="35"/>
      <c r="Y1416" s="45">
        <f t="shared" si="646"/>
        <v>0</v>
      </c>
      <c r="Z1416" s="45" t="e">
        <f t="shared" si="647"/>
        <v>#DIV/0!</v>
      </c>
    </row>
    <row r="1417" spans="3:26" ht="15" hidden="1" outlineLevel="2">
      <c r="C1417" s="1464"/>
      <c r="D1417" s="1464"/>
      <c r="E1417" s="1459"/>
      <c r="F1417" s="1462"/>
      <c r="G1417" s="343"/>
      <c r="H1417" s="340" t="s">
        <v>4</v>
      </c>
      <c r="I1417" s="341"/>
      <c r="J1417" s="341"/>
      <c r="K1417" s="341"/>
      <c r="L1417" s="341"/>
      <c r="M1417" s="342"/>
      <c r="N1417" s="341"/>
      <c r="O1417" s="338">
        <f t="shared" si="633"/>
        <v>0</v>
      </c>
      <c r="P1417" s="341"/>
      <c r="Q1417" s="431"/>
      <c r="R1417" s="28">
        <f t="shared" si="641"/>
        <v>0.05</v>
      </c>
      <c r="S1417" s="17">
        <f t="shared" si="642"/>
        <v>0</v>
      </c>
      <c r="T1417" s="419">
        <f t="shared" si="643"/>
        <v>0</v>
      </c>
      <c r="U1417" s="43"/>
      <c r="V1417" s="44">
        <f t="shared" si="644"/>
        <v>0</v>
      </c>
      <c r="W1417" s="35">
        <f t="shared" si="645"/>
        <v>0</v>
      </c>
      <c r="X1417" s="35"/>
      <c r="Y1417" s="45">
        <f t="shared" si="646"/>
        <v>0</v>
      </c>
      <c r="Z1417" s="45" t="e">
        <f t="shared" si="647"/>
        <v>#DIV/0!</v>
      </c>
    </row>
    <row r="1418" spans="3:26" ht="15" hidden="1" outlineLevel="2">
      <c r="C1418" s="1464"/>
      <c r="D1418" s="1464"/>
      <c r="E1418" s="1459"/>
      <c r="F1418" s="1462"/>
      <c r="G1418" s="343"/>
      <c r="H1418" s="340" t="s">
        <v>4</v>
      </c>
      <c r="I1418" s="341"/>
      <c r="J1418" s="341"/>
      <c r="K1418" s="341"/>
      <c r="L1418" s="341"/>
      <c r="M1418" s="342"/>
      <c r="N1418" s="341"/>
      <c r="O1418" s="338">
        <f t="shared" si="633"/>
        <v>0</v>
      </c>
      <c r="P1418" s="341"/>
      <c r="Q1418" s="431"/>
      <c r="R1418" s="28">
        <f t="shared" si="641"/>
        <v>0.05</v>
      </c>
      <c r="S1418" s="17">
        <f t="shared" si="642"/>
        <v>0</v>
      </c>
      <c r="T1418" s="419">
        <f t="shared" si="643"/>
        <v>0</v>
      </c>
      <c r="U1418" s="43"/>
      <c r="V1418" s="44">
        <f t="shared" si="644"/>
        <v>0</v>
      </c>
      <c r="W1418" s="35">
        <f t="shared" si="645"/>
        <v>0</v>
      </c>
      <c r="X1418" s="35"/>
      <c r="Y1418" s="45">
        <f t="shared" si="646"/>
        <v>0</v>
      </c>
      <c r="Z1418" s="45" t="e">
        <f t="shared" si="647"/>
        <v>#DIV/0!</v>
      </c>
    </row>
    <row r="1419" spans="3:26" ht="15" hidden="1" outlineLevel="2">
      <c r="C1419" s="1464"/>
      <c r="D1419" s="1464"/>
      <c r="E1419" s="1459"/>
      <c r="F1419" s="1462"/>
      <c r="G1419" s="343"/>
      <c r="H1419" s="340" t="s">
        <v>4</v>
      </c>
      <c r="I1419" s="341"/>
      <c r="J1419" s="341"/>
      <c r="K1419" s="341"/>
      <c r="L1419" s="341"/>
      <c r="M1419" s="342"/>
      <c r="N1419" s="341"/>
      <c r="O1419" s="338">
        <f t="shared" si="633"/>
        <v>0</v>
      </c>
      <c r="P1419" s="341"/>
      <c r="Q1419" s="431"/>
      <c r="R1419" s="28">
        <f t="shared" si="641"/>
        <v>0.05</v>
      </c>
      <c r="S1419" s="17">
        <f t="shared" si="642"/>
        <v>0</v>
      </c>
      <c r="T1419" s="419">
        <f t="shared" si="643"/>
        <v>0</v>
      </c>
      <c r="U1419" s="43"/>
      <c r="V1419" s="44">
        <f t="shared" si="644"/>
        <v>0</v>
      </c>
      <c r="W1419" s="35">
        <f t="shared" si="645"/>
        <v>0</v>
      </c>
      <c r="X1419" s="35"/>
      <c r="Y1419" s="45">
        <f t="shared" si="646"/>
        <v>0</v>
      </c>
      <c r="Z1419" s="45" t="e">
        <f t="shared" si="647"/>
        <v>#DIV/0!</v>
      </c>
    </row>
    <row r="1420" spans="3:26" ht="15" hidden="1" outlineLevel="2">
      <c r="C1420" s="1464"/>
      <c r="D1420" s="1464"/>
      <c r="E1420" s="1459"/>
      <c r="F1420" s="1462"/>
      <c r="G1420" s="343"/>
      <c r="H1420" s="340" t="s">
        <v>4</v>
      </c>
      <c r="I1420" s="341"/>
      <c r="J1420" s="341"/>
      <c r="K1420" s="341"/>
      <c r="L1420" s="341"/>
      <c r="M1420" s="342"/>
      <c r="N1420" s="341"/>
      <c r="O1420" s="338">
        <f t="shared" si="633"/>
        <v>0</v>
      </c>
      <c r="P1420" s="341"/>
      <c r="Q1420" s="431"/>
      <c r="R1420" s="28">
        <f t="shared" si="641"/>
        <v>0.05</v>
      </c>
      <c r="S1420" s="17">
        <f t="shared" si="642"/>
        <v>0</v>
      </c>
      <c r="T1420" s="419">
        <f t="shared" si="643"/>
        <v>0</v>
      </c>
      <c r="U1420" s="43"/>
      <c r="V1420" s="44">
        <f t="shared" si="644"/>
        <v>0</v>
      </c>
      <c r="W1420" s="35">
        <f t="shared" si="645"/>
        <v>0</v>
      </c>
      <c r="X1420" s="35"/>
      <c r="Y1420" s="45">
        <f t="shared" si="646"/>
        <v>0</v>
      </c>
      <c r="Z1420" s="45" t="e">
        <f t="shared" si="647"/>
        <v>#DIV/0!</v>
      </c>
    </row>
    <row r="1421" spans="3:26" ht="15" hidden="1" outlineLevel="2">
      <c r="C1421" s="1464"/>
      <c r="D1421" s="1464"/>
      <c r="E1421" s="1459"/>
      <c r="F1421" s="1462"/>
      <c r="G1421" s="344"/>
      <c r="H1421" s="340" t="s">
        <v>4</v>
      </c>
      <c r="I1421" s="345"/>
      <c r="J1421" s="345"/>
      <c r="K1421" s="345"/>
      <c r="L1421" s="345"/>
      <c r="M1421" s="346"/>
      <c r="N1421" s="345"/>
      <c r="O1421" s="338">
        <f t="shared" si="633"/>
        <v>0</v>
      </c>
      <c r="P1421" s="345"/>
      <c r="Q1421" s="432"/>
      <c r="R1421" s="28">
        <f t="shared" si="641"/>
        <v>0.05</v>
      </c>
      <c r="S1421" s="17">
        <f t="shared" si="642"/>
        <v>0</v>
      </c>
      <c r="T1421" s="419">
        <f t="shared" si="643"/>
        <v>0</v>
      </c>
      <c r="U1421" s="43"/>
      <c r="V1421" s="44">
        <f t="shared" si="644"/>
        <v>0</v>
      </c>
      <c r="W1421" s="35">
        <f t="shared" si="645"/>
        <v>0</v>
      </c>
      <c r="X1421" s="35"/>
      <c r="Y1421" s="45">
        <f t="shared" si="646"/>
        <v>0</v>
      </c>
      <c r="Z1421" s="45" t="e">
        <f t="shared" si="647"/>
        <v>#DIV/0!</v>
      </c>
    </row>
    <row r="1422" spans="3:26" ht="15" hidden="1" outlineLevel="2">
      <c r="C1422" s="1464"/>
      <c r="D1422" s="1464"/>
      <c r="E1422" s="1459"/>
      <c r="F1422" s="1462"/>
      <c r="G1422" s="343"/>
      <c r="H1422" s="340" t="s">
        <v>4</v>
      </c>
      <c r="I1422" s="341"/>
      <c r="J1422" s="341"/>
      <c r="K1422" s="341"/>
      <c r="L1422" s="341"/>
      <c r="M1422" s="342"/>
      <c r="N1422" s="341"/>
      <c r="O1422" s="338">
        <f t="shared" si="633"/>
        <v>0</v>
      </c>
      <c r="P1422" s="341"/>
      <c r="Q1422" s="431"/>
      <c r="R1422" s="28">
        <f t="shared" si="641"/>
        <v>0.05</v>
      </c>
      <c r="S1422" s="17">
        <f t="shared" si="642"/>
        <v>0</v>
      </c>
      <c r="T1422" s="419">
        <f t="shared" si="643"/>
        <v>0</v>
      </c>
      <c r="U1422" s="43"/>
      <c r="V1422" s="44">
        <f t="shared" si="644"/>
        <v>0</v>
      </c>
      <c r="W1422" s="35">
        <f t="shared" si="645"/>
        <v>0</v>
      </c>
      <c r="X1422" s="35"/>
      <c r="Y1422" s="45">
        <f t="shared" si="646"/>
        <v>0</v>
      </c>
      <c r="Z1422" s="45" t="e">
        <f t="shared" si="647"/>
        <v>#DIV/0!</v>
      </c>
    </row>
    <row r="1423" spans="3:26" ht="15" hidden="1" outlineLevel="2">
      <c r="C1423" s="1464"/>
      <c r="D1423" s="1464"/>
      <c r="E1423" s="1459"/>
      <c r="F1423" s="1462"/>
      <c r="G1423" s="1454" t="s">
        <v>45</v>
      </c>
      <c r="H1423" s="1455"/>
      <c r="I1423" s="371">
        <f>SUM(I1413:I1422)</f>
        <v>0</v>
      </c>
      <c r="J1423" s="371">
        <f t="shared" ref="J1423" si="648">SUM(J1413:J1422)</f>
        <v>0</v>
      </c>
      <c r="K1423" s="371">
        <f>SUMIFS(K1413:K1422,K1413:K1422,"&lt;&gt;",K1413:K1422,"&lt;"&amp;99^99)</f>
        <v>0</v>
      </c>
      <c r="L1423" s="371">
        <f>SUMIFS(L1413:L1422,L1413:L1422,"&lt;&gt;",L1413:L1422,"&lt;"&amp;99^99)</f>
        <v>0</v>
      </c>
      <c r="M1423" s="359"/>
      <c r="N1423" s="371">
        <f>N1413</f>
        <v>0</v>
      </c>
      <c r="O1423" s="367">
        <f t="shared" si="633"/>
        <v>0</v>
      </c>
      <c r="P1423" s="371">
        <f t="shared" ref="P1423:Q1423" si="649">SUM(P1413:P1422)</f>
        <v>0</v>
      </c>
      <c r="Q1423" s="438">
        <f t="shared" si="649"/>
        <v>0</v>
      </c>
      <c r="R1423" s="37" t="str">
        <f t="shared" si="641"/>
        <v/>
      </c>
      <c r="S1423" s="37">
        <f>SUM(S1413:S1422)</f>
        <v>0</v>
      </c>
      <c r="T1423" s="420">
        <f t="shared" ref="T1423" si="650">SUM(T1413:T1422)</f>
        <v>0</v>
      </c>
      <c r="U1423" s="37"/>
      <c r="V1423" s="37"/>
      <c r="W1423" s="37">
        <f t="shared" ref="W1423" si="651">SUM(W1413:W1422)</f>
        <v>0</v>
      </c>
      <c r="X1423" s="37"/>
      <c r="Y1423" s="37">
        <f t="shared" ref="Y1423" si="652">SUM(Y1413:Y1422)</f>
        <v>0</v>
      </c>
      <c r="Z1423" s="37">
        <f>SUMIFS(Z1413:Z1422,Y1413:Y1422,"&lt;&gt;",Z1413:Z1422,"&lt;"&amp;99^99)</f>
        <v>0</v>
      </c>
    </row>
    <row r="1424" spans="3:26" ht="15" hidden="1" outlineLevel="2">
      <c r="C1424" s="1464"/>
      <c r="D1424" s="1464"/>
      <c r="E1424" s="1459"/>
      <c r="F1424" s="1462"/>
      <c r="G1424" s="350"/>
      <c r="H1424" s="335" t="s">
        <v>28</v>
      </c>
      <c r="I1424" s="336"/>
      <c r="J1424" s="336"/>
      <c r="K1424" s="336"/>
      <c r="L1424" s="336"/>
      <c r="M1424" s="337"/>
      <c r="N1424" s="336"/>
      <c r="O1424" s="338">
        <f t="shared" si="633"/>
        <v>0</v>
      </c>
      <c r="P1424" s="336"/>
      <c r="Q1424" s="430"/>
      <c r="R1424" s="28">
        <f t="shared" si="641"/>
        <v>3.5000000000000003E-2</v>
      </c>
      <c r="S1424" s="17">
        <f t="shared" ref="S1424:S1433" si="653">R1424*J1424</f>
        <v>0</v>
      </c>
      <c r="T1424" s="419">
        <f t="shared" ref="T1424:T1433" si="654">R1424*I1424</f>
        <v>0</v>
      </c>
      <c r="U1424" s="43"/>
      <c r="V1424" s="44">
        <f t="shared" ref="V1424:V1433" si="655">U1424/12</f>
        <v>0</v>
      </c>
      <c r="W1424" s="35">
        <f t="shared" ref="W1424:W1433" si="656">T1424*V1424</f>
        <v>0</v>
      </c>
      <c r="X1424" s="35"/>
      <c r="Y1424" s="45">
        <f t="shared" ref="Y1424:Y1433" si="657">I1424+W1424</f>
        <v>0</v>
      </c>
      <c r="Z1424" s="45" t="e">
        <f t="shared" ref="Z1424:Z1433" si="658">Y1424/U1424</f>
        <v>#DIV/0!</v>
      </c>
    </row>
    <row r="1425" spans="3:26" ht="15" hidden="1" outlineLevel="2">
      <c r="C1425" s="1464"/>
      <c r="D1425" s="1464"/>
      <c r="E1425" s="1459"/>
      <c r="F1425" s="1462"/>
      <c r="G1425" s="343"/>
      <c r="H1425" s="335" t="s">
        <v>28</v>
      </c>
      <c r="I1425" s="341"/>
      <c r="J1425" s="341"/>
      <c r="K1425" s="341"/>
      <c r="L1425" s="341"/>
      <c r="M1425" s="342"/>
      <c r="N1425" s="341"/>
      <c r="O1425" s="338">
        <f t="shared" si="633"/>
        <v>0</v>
      </c>
      <c r="P1425" s="341"/>
      <c r="Q1425" s="431"/>
      <c r="R1425" s="28">
        <f t="shared" si="641"/>
        <v>3.5000000000000003E-2</v>
      </c>
      <c r="S1425" s="17">
        <f t="shared" si="653"/>
        <v>0</v>
      </c>
      <c r="T1425" s="419">
        <f t="shared" si="654"/>
        <v>0</v>
      </c>
      <c r="U1425" s="43"/>
      <c r="V1425" s="44">
        <f t="shared" si="655"/>
        <v>0</v>
      </c>
      <c r="W1425" s="35">
        <f t="shared" si="656"/>
        <v>0</v>
      </c>
      <c r="X1425" s="35"/>
      <c r="Y1425" s="45">
        <f t="shared" si="657"/>
        <v>0</v>
      </c>
      <c r="Z1425" s="45" t="e">
        <f t="shared" si="658"/>
        <v>#DIV/0!</v>
      </c>
    </row>
    <row r="1426" spans="3:26" ht="15" hidden="1" outlineLevel="2">
      <c r="C1426" s="1464"/>
      <c r="D1426" s="1464"/>
      <c r="E1426" s="1459"/>
      <c r="F1426" s="1462"/>
      <c r="G1426" s="343"/>
      <c r="H1426" s="335" t="s">
        <v>28</v>
      </c>
      <c r="I1426" s="341"/>
      <c r="J1426" s="341"/>
      <c r="K1426" s="341"/>
      <c r="L1426" s="341"/>
      <c r="M1426" s="337"/>
      <c r="N1426" s="341"/>
      <c r="O1426" s="338">
        <f t="shared" si="633"/>
        <v>0</v>
      </c>
      <c r="P1426" s="341"/>
      <c r="Q1426" s="431"/>
      <c r="R1426" s="28">
        <f t="shared" si="641"/>
        <v>3.5000000000000003E-2</v>
      </c>
      <c r="S1426" s="17">
        <f t="shared" si="653"/>
        <v>0</v>
      </c>
      <c r="T1426" s="419">
        <f t="shared" si="654"/>
        <v>0</v>
      </c>
      <c r="U1426" s="43"/>
      <c r="V1426" s="44">
        <f t="shared" si="655"/>
        <v>0</v>
      </c>
      <c r="W1426" s="35">
        <f t="shared" si="656"/>
        <v>0</v>
      </c>
      <c r="X1426" s="35"/>
      <c r="Y1426" s="45">
        <f t="shared" si="657"/>
        <v>0</v>
      </c>
      <c r="Z1426" s="45" t="e">
        <f t="shared" si="658"/>
        <v>#DIV/0!</v>
      </c>
    </row>
    <row r="1427" spans="3:26" ht="15" hidden="1" outlineLevel="2">
      <c r="C1427" s="1464"/>
      <c r="D1427" s="1464"/>
      <c r="E1427" s="1459"/>
      <c r="F1427" s="1462"/>
      <c r="G1427" s="343"/>
      <c r="H1427" s="335" t="s">
        <v>28</v>
      </c>
      <c r="I1427" s="341"/>
      <c r="J1427" s="341"/>
      <c r="K1427" s="341"/>
      <c r="L1427" s="341"/>
      <c r="M1427" s="342"/>
      <c r="N1427" s="341"/>
      <c r="O1427" s="338">
        <f t="shared" si="633"/>
        <v>0</v>
      </c>
      <c r="P1427" s="341"/>
      <c r="Q1427" s="431"/>
      <c r="R1427" s="28">
        <f t="shared" si="641"/>
        <v>3.5000000000000003E-2</v>
      </c>
      <c r="S1427" s="17">
        <f t="shared" si="653"/>
        <v>0</v>
      </c>
      <c r="T1427" s="419">
        <f t="shared" si="654"/>
        <v>0</v>
      </c>
      <c r="U1427" s="43"/>
      <c r="V1427" s="44">
        <f t="shared" si="655"/>
        <v>0</v>
      </c>
      <c r="W1427" s="35">
        <f t="shared" si="656"/>
        <v>0</v>
      </c>
      <c r="X1427" s="35"/>
      <c r="Y1427" s="45">
        <f t="shared" si="657"/>
        <v>0</v>
      </c>
      <c r="Z1427" s="45" t="e">
        <f t="shared" si="658"/>
        <v>#DIV/0!</v>
      </c>
    </row>
    <row r="1428" spans="3:26" ht="15" hidden="1" outlineLevel="2">
      <c r="C1428" s="1464"/>
      <c r="D1428" s="1464"/>
      <c r="E1428" s="1459"/>
      <c r="F1428" s="1462"/>
      <c r="G1428" s="343"/>
      <c r="H1428" s="335" t="s">
        <v>28</v>
      </c>
      <c r="I1428" s="341"/>
      <c r="J1428" s="341"/>
      <c r="K1428" s="341"/>
      <c r="L1428" s="341"/>
      <c r="M1428" s="342"/>
      <c r="N1428" s="341"/>
      <c r="O1428" s="338">
        <f t="shared" si="633"/>
        <v>0</v>
      </c>
      <c r="P1428" s="341"/>
      <c r="Q1428" s="431"/>
      <c r="R1428" s="28">
        <f t="shared" si="641"/>
        <v>3.5000000000000003E-2</v>
      </c>
      <c r="S1428" s="17">
        <f t="shared" si="653"/>
        <v>0</v>
      </c>
      <c r="T1428" s="419">
        <f t="shared" si="654"/>
        <v>0</v>
      </c>
      <c r="U1428" s="43"/>
      <c r="V1428" s="44">
        <f t="shared" si="655"/>
        <v>0</v>
      </c>
      <c r="W1428" s="35">
        <f t="shared" si="656"/>
        <v>0</v>
      </c>
      <c r="X1428" s="35"/>
      <c r="Y1428" s="45">
        <f t="shared" si="657"/>
        <v>0</v>
      </c>
      <c r="Z1428" s="45" t="e">
        <f t="shared" si="658"/>
        <v>#DIV/0!</v>
      </c>
    </row>
    <row r="1429" spans="3:26" ht="15" hidden="1" outlineLevel="2">
      <c r="C1429" s="1464"/>
      <c r="D1429" s="1464"/>
      <c r="E1429" s="1459"/>
      <c r="F1429" s="1462"/>
      <c r="G1429" s="343"/>
      <c r="H1429" s="335" t="s">
        <v>28</v>
      </c>
      <c r="I1429" s="341"/>
      <c r="J1429" s="341"/>
      <c r="K1429" s="341"/>
      <c r="L1429" s="341"/>
      <c r="M1429" s="342"/>
      <c r="N1429" s="341"/>
      <c r="O1429" s="338">
        <f t="shared" si="633"/>
        <v>0</v>
      </c>
      <c r="P1429" s="341"/>
      <c r="Q1429" s="431"/>
      <c r="R1429" s="28">
        <f t="shared" si="641"/>
        <v>3.5000000000000003E-2</v>
      </c>
      <c r="S1429" s="17">
        <f t="shared" si="653"/>
        <v>0</v>
      </c>
      <c r="T1429" s="419">
        <f t="shared" si="654"/>
        <v>0</v>
      </c>
      <c r="U1429" s="43"/>
      <c r="V1429" s="44">
        <f t="shared" si="655"/>
        <v>0</v>
      </c>
      <c r="W1429" s="35">
        <f t="shared" si="656"/>
        <v>0</v>
      </c>
      <c r="X1429" s="35"/>
      <c r="Y1429" s="45">
        <f t="shared" si="657"/>
        <v>0</v>
      </c>
      <c r="Z1429" s="45" t="e">
        <f t="shared" si="658"/>
        <v>#DIV/0!</v>
      </c>
    </row>
    <row r="1430" spans="3:26" ht="15" hidden="1" outlineLevel="2">
      <c r="C1430" s="1464"/>
      <c r="D1430" s="1464"/>
      <c r="E1430" s="1459"/>
      <c r="F1430" s="1462"/>
      <c r="G1430" s="343"/>
      <c r="H1430" s="335" t="s">
        <v>28</v>
      </c>
      <c r="I1430" s="341"/>
      <c r="J1430" s="341"/>
      <c r="K1430" s="341"/>
      <c r="L1430" s="341"/>
      <c r="M1430" s="342"/>
      <c r="N1430" s="341"/>
      <c r="O1430" s="338">
        <f t="shared" si="633"/>
        <v>0</v>
      </c>
      <c r="P1430" s="341"/>
      <c r="Q1430" s="431"/>
      <c r="R1430" s="28">
        <f t="shared" si="641"/>
        <v>3.5000000000000003E-2</v>
      </c>
      <c r="S1430" s="17">
        <f t="shared" si="653"/>
        <v>0</v>
      </c>
      <c r="T1430" s="419">
        <f t="shared" si="654"/>
        <v>0</v>
      </c>
      <c r="U1430" s="43"/>
      <c r="V1430" s="44">
        <f t="shared" si="655"/>
        <v>0</v>
      </c>
      <c r="W1430" s="35">
        <f t="shared" si="656"/>
        <v>0</v>
      </c>
      <c r="X1430" s="35"/>
      <c r="Y1430" s="45">
        <f t="shared" si="657"/>
        <v>0</v>
      </c>
      <c r="Z1430" s="45" t="e">
        <f t="shared" si="658"/>
        <v>#DIV/0!</v>
      </c>
    </row>
    <row r="1431" spans="3:26" ht="15" hidden="1" outlineLevel="2">
      <c r="C1431" s="1464"/>
      <c r="D1431" s="1464"/>
      <c r="E1431" s="1459"/>
      <c r="F1431" s="1462"/>
      <c r="G1431" s="343"/>
      <c r="H1431" s="335" t="s">
        <v>28</v>
      </c>
      <c r="I1431" s="341"/>
      <c r="J1431" s="341"/>
      <c r="K1431" s="341"/>
      <c r="L1431" s="341"/>
      <c r="M1431" s="342"/>
      <c r="N1431" s="341"/>
      <c r="O1431" s="338">
        <f t="shared" si="633"/>
        <v>0</v>
      </c>
      <c r="P1431" s="341"/>
      <c r="Q1431" s="431"/>
      <c r="R1431" s="28">
        <f t="shared" si="641"/>
        <v>3.5000000000000003E-2</v>
      </c>
      <c r="S1431" s="17">
        <f t="shared" si="653"/>
        <v>0</v>
      </c>
      <c r="T1431" s="419">
        <f t="shared" si="654"/>
        <v>0</v>
      </c>
      <c r="U1431" s="43"/>
      <c r="V1431" s="44">
        <f t="shared" si="655"/>
        <v>0</v>
      </c>
      <c r="W1431" s="35">
        <f t="shared" si="656"/>
        <v>0</v>
      </c>
      <c r="X1431" s="35"/>
      <c r="Y1431" s="45">
        <f t="shared" si="657"/>
        <v>0</v>
      </c>
      <c r="Z1431" s="45" t="e">
        <f t="shared" si="658"/>
        <v>#DIV/0!</v>
      </c>
    </row>
    <row r="1432" spans="3:26" ht="15" hidden="1" outlineLevel="2">
      <c r="C1432" s="1464"/>
      <c r="D1432" s="1464"/>
      <c r="E1432" s="1459"/>
      <c r="F1432" s="1462"/>
      <c r="G1432" s="344"/>
      <c r="H1432" s="335" t="s">
        <v>28</v>
      </c>
      <c r="I1432" s="345"/>
      <c r="J1432" s="345"/>
      <c r="K1432" s="345"/>
      <c r="L1432" s="345"/>
      <c r="M1432" s="346"/>
      <c r="N1432" s="345"/>
      <c r="O1432" s="338">
        <f t="shared" si="633"/>
        <v>0</v>
      </c>
      <c r="P1432" s="345"/>
      <c r="Q1432" s="432"/>
      <c r="R1432" s="28">
        <f t="shared" si="641"/>
        <v>3.5000000000000003E-2</v>
      </c>
      <c r="S1432" s="17">
        <f t="shared" si="653"/>
        <v>0</v>
      </c>
      <c r="T1432" s="419">
        <f t="shared" si="654"/>
        <v>0</v>
      </c>
      <c r="U1432" s="43"/>
      <c r="V1432" s="44">
        <f t="shared" si="655"/>
        <v>0</v>
      </c>
      <c r="W1432" s="35">
        <f t="shared" si="656"/>
        <v>0</v>
      </c>
      <c r="X1432" s="35"/>
      <c r="Y1432" s="45">
        <f t="shared" si="657"/>
        <v>0</v>
      </c>
      <c r="Z1432" s="45" t="e">
        <f t="shared" si="658"/>
        <v>#DIV/0!</v>
      </c>
    </row>
    <row r="1433" spans="3:26" ht="15" hidden="1" outlineLevel="2">
      <c r="C1433" s="1464"/>
      <c r="D1433" s="1464"/>
      <c r="E1433" s="1459"/>
      <c r="F1433" s="1462"/>
      <c r="G1433" s="343"/>
      <c r="H1433" s="335" t="s">
        <v>28</v>
      </c>
      <c r="I1433" s="341"/>
      <c r="J1433" s="341"/>
      <c r="K1433" s="341"/>
      <c r="L1433" s="341"/>
      <c r="M1433" s="342"/>
      <c r="N1433" s="341"/>
      <c r="O1433" s="338">
        <f t="shared" si="633"/>
        <v>0</v>
      </c>
      <c r="P1433" s="341"/>
      <c r="Q1433" s="431"/>
      <c r="R1433" s="28">
        <f t="shared" si="641"/>
        <v>3.5000000000000003E-2</v>
      </c>
      <c r="S1433" s="17">
        <f t="shared" si="653"/>
        <v>0</v>
      </c>
      <c r="T1433" s="419">
        <f t="shared" si="654"/>
        <v>0</v>
      </c>
      <c r="U1433" s="43"/>
      <c r="V1433" s="44">
        <f t="shared" si="655"/>
        <v>0</v>
      </c>
      <c r="W1433" s="35">
        <f t="shared" si="656"/>
        <v>0</v>
      </c>
      <c r="X1433" s="35"/>
      <c r="Y1433" s="45">
        <f t="shared" si="657"/>
        <v>0</v>
      </c>
      <c r="Z1433" s="45" t="e">
        <f t="shared" si="658"/>
        <v>#DIV/0!</v>
      </c>
    </row>
    <row r="1434" spans="3:26" ht="15" hidden="1" outlineLevel="2">
      <c r="C1434" s="1464"/>
      <c r="D1434" s="1464"/>
      <c r="E1434" s="1459"/>
      <c r="F1434" s="1462"/>
      <c r="G1434" s="1454" t="s">
        <v>51</v>
      </c>
      <c r="H1434" s="1455"/>
      <c r="I1434" s="371">
        <f>SUM(I1424:I1433)</f>
        <v>0</v>
      </c>
      <c r="J1434" s="371">
        <f t="shared" ref="J1434" si="659">SUM(J1424:J1433)</f>
        <v>0</v>
      </c>
      <c r="K1434" s="371">
        <f>SUMIFS(K1424:K1433,J1424:J1433,"&lt;&gt;",K1424:K1433,"&lt;"&amp;99^99)</f>
        <v>0</v>
      </c>
      <c r="L1434" s="371">
        <f>SUMIFS(L1424:L1433,K1424:K1433,"&lt;&gt;",L1424:L1433,"&lt;"&amp;99^99)</f>
        <v>0</v>
      </c>
      <c r="M1434" s="359"/>
      <c r="N1434" s="371">
        <f>N1424</f>
        <v>0</v>
      </c>
      <c r="O1434" s="367">
        <f t="shared" si="633"/>
        <v>0</v>
      </c>
      <c r="P1434" s="371">
        <f t="shared" ref="P1434:Q1434" si="660">SUM(P1424:P1433)</f>
        <v>0</v>
      </c>
      <c r="Q1434" s="438">
        <f t="shared" si="660"/>
        <v>0</v>
      </c>
      <c r="R1434" s="37" t="str">
        <f t="shared" si="641"/>
        <v/>
      </c>
      <c r="S1434" s="37">
        <f>SUM(S1424:S1433)</f>
        <v>0</v>
      </c>
      <c r="T1434" s="420">
        <f t="shared" ref="T1434" si="661">SUM(T1424:T1433)</f>
        <v>0</v>
      </c>
      <c r="U1434" s="37"/>
      <c r="V1434" s="37"/>
      <c r="W1434" s="37">
        <f t="shared" ref="W1434" si="662">SUM(W1424:W1433)</f>
        <v>0</v>
      </c>
      <c r="X1434" s="37"/>
      <c r="Y1434" s="37">
        <f t="shared" ref="Y1434" si="663">SUM(Y1424:Y1433)</f>
        <v>0</v>
      </c>
      <c r="Z1434" s="37">
        <f>SUMIFS(Z1424:Z1433,Y1424:Y1433,"&lt;&gt;",Z1424:Z1433,"&lt;"&amp;99^99)</f>
        <v>0</v>
      </c>
    </row>
    <row r="1435" spans="3:26" ht="15" hidden="1" outlineLevel="2">
      <c r="C1435" s="1464"/>
      <c r="D1435" s="1464"/>
      <c r="E1435" s="1459"/>
      <c r="F1435" s="1462"/>
      <c r="G1435" s="350"/>
      <c r="H1435" s="335"/>
      <c r="I1435" s="336"/>
      <c r="J1435" s="336"/>
      <c r="K1435" s="336"/>
      <c r="L1435" s="336"/>
      <c r="M1435" s="337"/>
      <c r="N1435" s="336"/>
      <c r="O1435" s="338">
        <f t="shared" si="633"/>
        <v>0</v>
      </c>
      <c r="P1435" s="336"/>
      <c r="Q1435" s="430"/>
      <c r="R1435" s="28" t="str">
        <f t="shared" si="641"/>
        <v/>
      </c>
      <c r="S1435" s="17" t="e">
        <f t="shared" ref="S1435:S1444" si="664">R1435*J1435</f>
        <v>#VALUE!</v>
      </c>
      <c r="T1435" s="419" t="e">
        <f t="shared" ref="T1435:T1444" si="665">R1435*I1435</f>
        <v>#VALUE!</v>
      </c>
      <c r="U1435" s="43"/>
      <c r="V1435" s="44">
        <f t="shared" ref="V1435:V1444" si="666">U1435/12</f>
        <v>0</v>
      </c>
      <c r="W1435" s="35" t="e">
        <f t="shared" ref="W1435:W1444" si="667">T1435*V1435</f>
        <v>#VALUE!</v>
      </c>
      <c r="X1435" s="35"/>
      <c r="Y1435" s="45" t="e">
        <f t="shared" ref="Y1435:Y1444" si="668">I1435+W1435</f>
        <v>#VALUE!</v>
      </c>
      <c r="Z1435" s="45" t="e">
        <f t="shared" ref="Z1435:Z1444" si="669">Y1435/U1435</f>
        <v>#VALUE!</v>
      </c>
    </row>
    <row r="1436" spans="3:26" ht="15" hidden="1" outlineLevel="2">
      <c r="C1436" s="1464"/>
      <c r="D1436" s="1464"/>
      <c r="E1436" s="1459"/>
      <c r="F1436" s="1462"/>
      <c r="G1436" s="343"/>
      <c r="H1436" s="335" t="s">
        <v>22</v>
      </c>
      <c r="I1436" s="341"/>
      <c r="J1436" s="341"/>
      <c r="K1436" s="341"/>
      <c r="L1436" s="341"/>
      <c r="M1436" s="342"/>
      <c r="N1436" s="341">
        <v>0</v>
      </c>
      <c r="O1436" s="338">
        <f t="shared" si="633"/>
        <v>0</v>
      </c>
      <c r="P1436" s="341"/>
      <c r="Q1436" s="431"/>
      <c r="R1436" s="28">
        <f t="shared" si="641"/>
        <v>3.5000000000000003E-2</v>
      </c>
      <c r="S1436" s="17">
        <f t="shared" si="664"/>
        <v>0</v>
      </c>
      <c r="T1436" s="419">
        <f t="shared" si="665"/>
        <v>0</v>
      </c>
      <c r="U1436" s="43"/>
      <c r="V1436" s="44">
        <f t="shared" si="666"/>
        <v>0</v>
      </c>
      <c r="W1436" s="35">
        <f t="shared" si="667"/>
        <v>0</v>
      </c>
      <c r="X1436" s="35"/>
      <c r="Y1436" s="45">
        <f t="shared" si="668"/>
        <v>0</v>
      </c>
      <c r="Z1436" s="45" t="e">
        <f t="shared" si="669"/>
        <v>#DIV/0!</v>
      </c>
    </row>
    <row r="1437" spans="3:26" ht="15" hidden="1" outlineLevel="2">
      <c r="C1437" s="1464"/>
      <c r="D1437" s="1464"/>
      <c r="E1437" s="1459"/>
      <c r="F1437" s="1462"/>
      <c r="G1437" s="343"/>
      <c r="H1437" s="335" t="s">
        <v>22</v>
      </c>
      <c r="I1437" s="341"/>
      <c r="J1437" s="341"/>
      <c r="K1437" s="341"/>
      <c r="L1437" s="341"/>
      <c r="M1437" s="337"/>
      <c r="N1437" s="341"/>
      <c r="O1437" s="338">
        <f t="shared" si="633"/>
        <v>0</v>
      </c>
      <c r="P1437" s="341"/>
      <c r="Q1437" s="431"/>
      <c r="R1437" s="28">
        <f t="shared" si="641"/>
        <v>3.5000000000000003E-2</v>
      </c>
      <c r="S1437" s="17">
        <f t="shared" si="664"/>
        <v>0</v>
      </c>
      <c r="T1437" s="419">
        <f t="shared" si="665"/>
        <v>0</v>
      </c>
      <c r="U1437" s="43"/>
      <c r="V1437" s="44">
        <f t="shared" si="666"/>
        <v>0</v>
      </c>
      <c r="W1437" s="35">
        <f t="shared" si="667"/>
        <v>0</v>
      </c>
      <c r="X1437" s="35"/>
      <c r="Y1437" s="45">
        <f t="shared" si="668"/>
        <v>0</v>
      </c>
      <c r="Z1437" s="45" t="e">
        <f t="shared" si="669"/>
        <v>#DIV/0!</v>
      </c>
    </row>
    <row r="1438" spans="3:26" ht="15" hidden="1" outlineLevel="2">
      <c r="C1438" s="1464"/>
      <c r="D1438" s="1464"/>
      <c r="E1438" s="1459"/>
      <c r="F1438" s="1462"/>
      <c r="G1438" s="343"/>
      <c r="H1438" s="335" t="s">
        <v>22</v>
      </c>
      <c r="I1438" s="341"/>
      <c r="J1438" s="341"/>
      <c r="K1438" s="341"/>
      <c r="L1438" s="341"/>
      <c r="M1438" s="342"/>
      <c r="N1438" s="341"/>
      <c r="O1438" s="338">
        <f t="shared" si="633"/>
        <v>0</v>
      </c>
      <c r="P1438" s="341"/>
      <c r="Q1438" s="431"/>
      <c r="R1438" s="28">
        <f t="shared" si="641"/>
        <v>3.5000000000000003E-2</v>
      </c>
      <c r="S1438" s="17">
        <f t="shared" si="664"/>
        <v>0</v>
      </c>
      <c r="T1438" s="419">
        <f t="shared" si="665"/>
        <v>0</v>
      </c>
      <c r="U1438" s="43"/>
      <c r="V1438" s="44">
        <f t="shared" si="666"/>
        <v>0</v>
      </c>
      <c r="W1438" s="35">
        <f t="shared" si="667"/>
        <v>0</v>
      </c>
      <c r="X1438" s="35"/>
      <c r="Y1438" s="45">
        <f t="shared" si="668"/>
        <v>0</v>
      </c>
      <c r="Z1438" s="45" t="e">
        <f t="shared" si="669"/>
        <v>#DIV/0!</v>
      </c>
    </row>
    <row r="1439" spans="3:26" ht="15" hidden="1" outlineLevel="2">
      <c r="C1439" s="1464"/>
      <c r="D1439" s="1464"/>
      <c r="E1439" s="1459"/>
      <c r="F1439" s="1462"/>
      <c r="G1439" s="343"/>
      <c r="H1439" s="335" t="s">
        <v>22</v>
      </c>
      <c r="I1439" s="341"/>
      <c r="J1439" s="341"/>
      <c r="K1439" s="341"/>
      <c r="L1439" s="341"/>
      <c r="M1439" s="342"/>
      <c r="N1439" s="341"/>
      <c r="O1439" s="338">
        <f t="shared" si="633"/>
        <v>0</v>
      </c>
      <c r="P1439" s="341"/>
      <c r="Q1439" s="431"/>
      <c r="R1439" s="28">
        <f t="shared" si="641"/>
        <v>3.5000000000000003E-2</v>
      </c>
      <c r="S1439" s="17">
        <f t="shared" si="664"/>
        <v>0</v>
      </c>
      <c r="T1439" s="419">
        <f t="shared" si="665"/>
        <v>0</v>
      </c>
      <c r="U1439" s="43"/>
      <c r="V1439" s="44">
        <f t="shared" si="666"/>
        <v>0</v>
      </c>
      <c r="W1439" s="35">
        <f t="shared" si="667"/>
        <v>0</v>
      </c>
      <c r="X1439" s="35"/>
      <c r="Y1439" s="45">
        <f t="shared" si="668"/>
        <v>0</v>
      </c>
      <c r="Z1439" s="45" t="e">
        <f t="shared" si="669"/>
        <v>#DIV/0!</v>
      </c>
    </row>
    <row r="1440" spans="3:26" ht="15" hidden="1" outlineLevel="2">
      <c r="C1440" s="1464"/>
      <c r="D1440" s="1464"/>
      <c r="E1440" s="1459"/>
      <c r="F1440" s="1462"/>
      <c r="G1440" s="343"/>
      <c r="H1440" s="335" t="s">
        <v>22</v>
      </c>
      <c r="I1440" s="341"/>
      <c r="J1440" s="341"/>
      <c r="K1440" s="341"/>
      <c r="L1440" s="341"/>
      <c r="M1440" s="342"/>
      <c r="N1440" s="341"/>
      <c r="O1440" s="338">
        <f t="shared" si="633"/>
        <v>0</v>
      </c>
      <c r="P1440" s="341"/>
      <c r="Q1440" s="431"/>
      <c r="R1440" s="28">
        <f t="shared" si="641"/>
        <v>3.5000000000000003E-2</v>
      </c>
      <c r="S1440" s="17">
        <f t="shared" si="664"/>
        <v>0</v>
      </c>
      <c r="T1440" s="419">
        <f t="shared" si="665"/>
        <v>0</v>
      </c>
      <c r="U1440" s="43"/>
      <c r="V1440" s="44">
        <f t="shared" si="666"/>
        <v>0</v>
      </c>
      <c r="W1440" s="35">
        <f t="shared" si="667"/>
        <v>0</v>
      </c>
      <c r="X1440" s="35"/>
      <c r="Y1440" s="45">
        <f t="shared" si="668"/>
        <v>0</v>
      </c>
      <c r="Z1440" s="45" t="e">
        <f t="shared" si="669"/>
        <v>#DIV/0!</v>
      </c>
    </row>
    <row r="1441" spans="3:26" ht="15" hidden="1" outlineLevel="2">
      <c r="C1441" s="1464"/>
      <c r="D1441" s="1464"/>
      <c r="E1441" s="1459"/>
      <c r="F1441" s="1462"/>
      <c r="G1441" s="343"/>
      <c r="H1441" s="335" t="s">
        <v>22</v>
      </c>
      <c r="I1441" s="341"/>
      <c r="J1441" s="341"/>
      <c r="K1441" s="341"/>
      <c r="L1441" s="341"/>
      <c r="M1441" s="342"/>
      <c r="N1441" s="341"/>
      <c r="O1441" s="338">
        <f t="shared" si="633"/>
        <v>0</v>
      </c>
      <c r="P1441" s="341"/>
      <c r="Q1441" s="431"/>
      <c r="R1441" s="28">
        <f t="shared" si="641"/>
        <v>3.5000000000000003E-2</v>
      </c>
      <c r="S1441" s="17">
        <f t="shared" si="664"/>
        <v>0</v>
      </c>
      <c r="T1441" s="419">
        <f t="shared" si="665"/>
        <v>0</v>
      </c>
      <c r="U1441" s="43"/>
      <c r="V1441" s="44">
        <f t="shared" si="666"/>
        <v>0</v>
      </c>
      <c r="W1441" s="35">
        <f t="shared" si="667"/>
        <v>0</v>
      </c>
      <c r="X1441" s="35"/>
      <c r="Y1441" s="45">
        <f t="shared" si="668"/>
        <v>0</v>
      </c>
      <c r="Z1441" s="45" t="e">
        <f t="shared" si="669"/>
        <v>#DIV/0!</v>
      </c>
    </row>
    <row r="1442" spans="3:26" ht="15" hidden="1" outlineLevel="2">
      <c r="C1442" s="1464"/>
      <c r="D1442" s="1464"/>
      <c r="E1442" s="1459"/>
      <c r="F1442" s="1462"/>
      <c r="G1442" s="343"/>
      <c r="H1442" s="335" t="s">
        <v>22</v>
      </c>
      <c r="I1442" s="341"/>
      <c r="J1442" s="341"/>
      <c r="K1442" s="341"/>
      <c r="L1442" s="341"/>
      <c r="M1442" s="342"/>
      <c r="N1442" s="341"/>
      <c r="O1442" s="338">
        <f t="shared" si="633"/>
        <v>0</v>
      </c>
      <c r="P1442" s="341"/>
      <c r="Q1442" s="431"/>
      <c r="R1442" s="28">
        <f t="shared" si="641"/>
        <v>3.5000000000000003E-2</v>
      </c>
      <c r="S1442" s="17">
        <f t="shared" si="664"/>
        <v>0</v>
      </c>
      <c r="T1442" s="419">
        <f t="shared" si="665"/>
        <v>0</v>
      </c>
      <c r="U1442" s="43"/>
      <c r="V1442" s="44">
        <f t="shared" si="666"/>
        <v>0</v>
      </c>
      <c r="W1442" s="35">
        <f t="shared" si="667"/>
        <v>0</v>
      </c>
      <c r="X1442" s="35"/>
      <c r="Y1442" s="45">
        <f t="shared" si="668"/>
        <v>0</v>
      </c>
      <c r="Z1442" s="45" t="e">
        <f t="shared" si="669"/>
        <v>#DIV/0!</v>
      </c>
    </row>
    <row r="1443" spans="3:26" ht="15" hidden="1" outlineLevel="2">
      <c r="C1443" s="1464"/>
      <c r="D1443" s="1464"/>
      <c r="E1443" s="1459"/>
      <c r="F1443" s="1462"/>
      <c r="G1443" s="344"/>
      <c r="H1443" s="335" t="s">
        <v>22</v>
      </c>
      <c r="I1443" s="345"/>
      <c r="J1443" s="345"/>
      <c r="K1443" s="345"/>
      <c r="L1443" s="345"/>
      <c r="M1443" s="346"/>
      <c r="N1443" s="345"/>
      <c r="O1443" s="338">
        <f t="shared" si="633"/>
        <v>0</v>
      </c>
      <c r="P1443" s="345"/>
      <c r="Q1443" s="432"/>
      <c r="R1443" s="28">
        <f t="shared" si="641"/>
        <v>3.5000000000000003E-2</v>
      </c>
      <c r="S1443" s="17">
        <f t="shared" si="664"/>
        <v>0</v>
      </c>
      <c r="T1443" s="419">
        <f t="shared" si="665"/>
        <v>0</v>
      </c>
      <c r="U1443" s="43"/>
      <c r="V1443" s="44">
        <f t="shared" si="666"/>
        <v>0</v>
      </c>
      <c r="W1443" s="35">
        <f t="shared" si="667"/>
        <v>0</v>
      </c>
      <c r="X1443" s="35"/>
      <c r="Y1443" s="45">
        <f t="shared" si="668"/>
        <v>0</v>
      </c>
      <c r="Z1443" s="45" t="e">
        <f t="shared" si="669"/>
        <v>#DIV/0!</v>
      </c>
    </row>
    <row r="1444" spans="3:26" ht="15" hidden="1" outlineLevel="2">
      <c r="C1444" s="1464"/>
      <c r="D1444" s="1464"/>
      <c r="E1444" s="1459"/>
      <c r="F1444" s="1462"/>
      <c r="G1444" s="343"/>
      <c r="H1444" s="335" t="s">
        <v>22</v>
      </c>
      <c r="I1444" s="341"/>
      <c r="J1444" s="341"/>
      <c r="K1444" s="341"/>
      <c r="L1444" s="341"/>
      <c r="M1444" s="342"/>
      <c r="N1444" s="341"/>
      <c r="O1444" s="338">
        <f t="shared" si="633"/>
        <v>0</v>
      </c>
      <c r="P1444" s="341"/>
      <c r="Q1444" s="431"/>
      <c r="R1444" s="28">
        <f t="shared" si="641"/>
        <v>3.5000000000000003E-2</v>
      </c>
      <c r="S1444" s="17">
        <f t="shared" si="664"/>
        <v>0</v>
      </c>
      <c r="T1444" s="419">
        <f t="shared" si="665"/>
        <v>0</v>
      </c>
      <c r="U1444" s="43"/>
      <c r="V1444" s="44">
        <f t="shared" si="666"/>
        <v>0</v>
      </c>
      <c r="W1444" s="35">
        <f t="shared" si="667"/>
        <v>0</v>
      </c>
      <c r="X1444" s="35"/>
      <c r="Y1444" s="45">
        <f t="shared" si="668"/>
        <v>0</v>
      </c>
      <c r="Z1444" s="45" t="e">
        <f t="shared" si="669"/>
        <v>#DIV/0!</v>
      </c>
    </row>
    <row r="1445" spans="3:26" ht="15" hidden="1" outlineLevel="2">
      <c r="C1445" s="1464"/>
      <c r="D1445" s="1464"/>
      <c r="E1445" s="1459"/>
      <c r="F1445" s="1462"/>
      <c r="G1445" s="1454" t="s">
        <v>44</v>
      </c>
      <c r="H1445" s="1455"/>
      <c r="I1445" s="371">
        <f>SUM(I1435:I1444)</f>
        <v>0</v>
      </c>
      <c r="J1445" s="371">
        <f t="shared" ref="J1445" si="670">SUM(J1435:J1444)</f>
        <v>0</v>
      </c>
      <c r="K1445" s="371">
        <f>SUMIFS(K1435:K1444,K1435:K1444,"&lt;&gt;",K1435:K1444,"&lt;"&amp;99^99)</f>
        <v>0</v>
      </c>
      <c r="L1445" s="371">
        <f>SUMIFS(L1435:L1444,L1435:L1444,"&lt;&gt;",L1435:L1444,"&lt;"&amp;99^99)</f>
        <v>0</v>
      </c>
      <c r="M1445" s="359"/>
      <c r="N1445" s="371">
        <f>N1435</f>
        <v>0</v>
      </c>
      <c r="O1445" s="367">
        <f t="shared" si="633"/>
        <v>0</v>
      </c>
      <c r="P1445" s="371">
        <f t="shared" ref="P1445:Q1445" si="671">SUM(P1435:P1444)</f>
        <v>0</v>
      </c>
      <c r="Q1445" s="438">
        <f t="shared" si="671"/>
        <v>0</v>
      </c>
      <c r="R1445" s="37" t="str">
        <f t="shared" si="641"/>
        <v/>
      </c>
      <c r="S1445" s="37" t="e">
        <f>SUM(S1435:S1444)</f>
        <v>#VALUE!</v>
      </c>
      <c r="T1445" s="420" t="e">
        <f t="shared" ref="T1445" si="672">SUM(T1435:T1444)</f>
        <v>#VALUE!</v>
      </c>
      <c r="U1445" s="37"/>
      <c r="V1445" s="37"/>
      <c r="W1445" s="37" t="e">
        <f t="shared" ref="W1445" si="673">SUM(W1435:W1444)</f>
        <v>#VALUE!</v>
      </c>
      <c r="X1445" s="37"/>
      <c r="Y1445" s="37" t="e">
        <f t="shared" ref="Y1445" si="674">SUM(Y1435:Y1444)</f>
        <v>#VALUE!</v>
      </c>
      <c r="Z1445" s="37">
        <f>SUMIFS(Z1435:Z1444,Y1435:Y1444,"&lt;&gt;",Z1435:Z1444,"&lt;"&amp;99^99)</f>
        <v>0</v>
      </c>
    </row>
    <row r="1446" spans="3:26" ht="15" hidden="1" outlineLevel="1" collapsed="1">
      <c r="C1446" s="1464"/>
      <c r="D1446" s="1464"/>
      <c r="E1446" s="1459"/>
      <c r="F1446" s="1463"/>
      <c r="G1446" s="1454" t="s">
        <v>177</v>
      </c>
      <c r="H1446" s="1455"/>
      <c r="I1446" s="371">
        <f>(I1423/usdrate)+(I1434*jodrate)+I1445</f>
        <v>0</v>
      </c>
      <c r="J1446" s="371">
        <f>(J1423/usdrate)+(J1434*jodrate)+J1445</f>
        <v>0</v>
      </c>
      <c r="K1446" s="371">
        <f>(K1423/usdrate)+(K1434*jodrate)+K1445</f>
        <v>0</v>
      </c>
      <c r="L1446" s="371">
        <f>(L1423/usdrate)+(L1434*jodrate)+L1445</f>
        <v>0</v>
      </c>
      <c r="M1446" s="359"/>
      <c r="N1446" s="371">
        <f>(N1423/usdrate)+(N1434*jodrate)+N1445</f>
        <v>0</v>
      </c>
      <c r="O1446" s="367">
        <f t="shared" si="633"/>
        <v>0</v>
      </c>
      <c r="P1446" s="371">
        <f>(P1423/usdrate)+(P1434*jodrate)+P1445</f>
        <v>0</v>
      </c>
      <c r="Q1446" s="438">
        <f>(Q1423/usdrate)+(Q1434*jodrate)+Q1445</f>
        <v>0</v>
      </c>
      <c r="R1446" s="242"/>
      <c r="S1446" s="37" t="e">
        <f t="shared" ref="S1446:W1446" si="675">(S1423/usdrate)+(S1434*jodrate)+S1445</f>
        <v>#VALUE!</v>
      </c>
      <c r="T1446" s="420" t="e">
        <f t="shared" si="675"/>
        <v>#VALUE!</v>
      </c>
      <c r="U1446" s="37">
        <f t="shared" si="675"/>
        <v>0</v>
      </c>
      <c r="V1446" s="37">
        <f t="shared" si="675"/>
        <v>0</v>
      </c>
      <c r="W1446" s="37" t="e">
        <f t="shared" si="675"/>
        <v>#VALUE!</v>
      </c>
      <c r="X1446" s="37"/>
      <c r="Y1446" s="37" t="e">
        <f t="shared" ref="Y1446:Z1446" si="676">(Y1423/usdrate)+(Y1434*jodrate)+Y1445</f>
        <v>#VALUE!</v>
      </c>
      <c r="Z1446" s="37">
        <f t="shared" si="676"/>
        <v>0</v>
      </c>
    </row>
    <row r="1447" spans="3:26" ht="15" hidden="1" outlineLevel="2">
      <c r="C1447" s="1464"/>
      <c r="D1447" s="1464"/>
      <c r="E1447" s="1459"/>
      <c r="F1447" s="1461" t="s">
        <v>170</v>
      </c>
      <c r="G1447" s="353"/>
      <c r="H1447" s="340"/>
      <c r="I1447" s="341"/>
      <c r="J1447" s="341"/>
      <c r="K1447" s="370"/>
      <c r="L1447" s="370"/>
      <c r="M1447" s="337"/>
      <c r="N1447" s="336"/>
      <c r="O1447" s="338">
        <f t="shared" si="633"/>
        <v>0</v>
      </c>
      <c r="P1447" s="341"/>
      <c r="Q1447" s="431"/>
      <c r="T1447" s="418"/>
    </row>
    <row r="1448" spans="3:26" ht="15" hidden="1" outlineLevel="2">
      <c r="C1448" s="1464"/>
      <c r="D1448" s="1464"/>
      <c r="E1448" s="1459"/>
      <c r="F1448" s="1462"/>
      <c r="G1448" s="343"/>
      <c r="H1448" s="340"/>
      <c r="I1448" s="341"/>
      <c r="J1448" s="341"/>
      <c r="K1448" s="341"/>
      <c r="L1448" s="341"/>
      <c r="M1448" s="342"/>
      <c r="N1448" s="341">
        <v>0</v>
      </c>
      <c r="O1448" s="338">
        <f t="shared" si="633"/>
        <v>0</v>
      </c>
      <c r="P1448" s="341"/>
      <c r="Q1448" s="431"/>
      <c r="T1448" s="418"/>
    </row>
    <row r="1449" spans="3:26" ht="15" hidden="1" outlineLevel="2">
      <c r="C1449" s="1464"/>
      <c r="D1449" s="1464"/>
      <c r="E1449" s="1459"/>
      <c r="F1449" s="1462"/>
      <c r="G1449" s="343"/>
      <c r="H1449" s="340"/>
      <c r="I1449" s="341"/>
      <c r="J1449" s="341"/>
      <c r="K1449" s="341"/>
      <c r="L1449" s="341"/>
      <c r="M1449" s="337"/>
      <c r="N1449" s="341"/>
      <c r="O1449" s="338">
        <f t="shared" si="633"/>
        <v>0</v>
      </c>
      <c r="P1449" s="341"/>
      <c r="Q1449" s="431"/>
      <c r="T1449" s="418"/>
    </row>
    <row r="1450" spans="3:26" ht="15" hidden="1" outlineLevel="2">
      <c r="C1450" s="1464"/>
      <c r="D1450" s="1464"/>
      <c r="E1450" s="1459"/>
      <c r="F1450" s="1462"/>
      <c r="G1450" s="343"/>
      <c r="H1450" s="340"/>
      <c r="I1450" s="341"/>
      <c r="J1450" s="341"/>
      <c r="K1450" s="341"/>
      <c r="L1450" s="341"/>
      <c r="M1450" s="342"/>
      <c r="N1450" s="341"/>
      <c r="O1450" s="338">
        <f t="shared" si="633"/>
        <v>0</v>
      </c>
      <c r="P1450" s="341"/>
      <c r="Q1450" s="431"/>
      <c r="T1450" s="418"/>
    </row>
    <row r="1451" spans="3:26" ht="15" hidden="1" outlineLevel="2">
      <c r="C1451" s="1464"/>
      <c r="D1451" s="1464"/>
      <c r="E1451" s="1459"/>
      <c r="F1451" s="1462"/>
      <c r="G1451" s="343"/>
      <c r="H1451" s="340"/>
      <c r="I1451" s="341"/>
      <c r="J1451" s="341"/>
      <c r="K1451" s="341"/>
      <c r="L1451" s="341"/>
      <c r="M1451" s="342"/>
      <c r="N1451" s="341"/>
      <c r="O1451" s="338">
        <f t="shared" si="633"/>
        <v>0</v>
      </c>
      <c r="P1451" s="341"/>
      <c r="Q1451" s="431"/>
      <c r="T1451" s="418"/>
    </row>
    <row r="1452" spans="3:26" ht="15" hidden="1" outlineLevel="2">
      <c r="C1452" s="1464"/>
      <c r="D1452" s="1464"/>
      <c r="E1452" s="1459"/>
      <c r="F1452" s="1462"/>
      <c r="G1452" s="343"/>
      <c r="H1452" s="340"/>
      <c r="I1452" s="341"/>
      <c r="J1452" s="341"/>
      <c r="K1452" s="341"/>
      <c r="L1452" s="341"/>
      <c r="M1452" s="342"/>
      <c r="N1452" s="341"/>
      <c r="O1452" s="338">
        <f t="shared" si="633"/>
        <v>0</v>
      </c>
      <c r="P1452" s="341"/>
      <c r="Q1452" s="431"/>
      <c r="T1452" s="418"/>
    </row>
    <row r="1453" spans="3:26" ht="15" hidden="1" outlineLevel="2">
      <c r="C1453" s="1464"/>
      <c r="D1453" s="1464"/>
      <c r="E1453" s="1459"/>
      <c r="F1453" s="1462"/>
      <c r="G1453" s="343"/>
      <c r="H1453" s="340"/>
      <c r="I1453" s="341"/>
      <c r="J1453" s="341"/>
      <c r="K1453" s="341"/>
      <c r="L1453" s="341"/>
      <c r="M1453" s="342"/>
      <c r="N1453" s="341"/>
      <c r="O1453" s="338">
        <f t="shared" si="633"/>
        <v>0</v>
      </c>
      <c r="P1453" s="341"/>
      <c r="Q1453" s="431"/>
      <c r="T1453" s="418"/>
    </row>
    <row r="1454" spans="3:26" ht="15" hidden="1" outlineLevel="2">
      <c r="C1454" s="1464"/>
      <c r="D1454" s="1464"/>
      <c r="E1454" s="1459"/>
      <c r="F1454" s="1462"/>
      <c r="G1454" s="343"/>
      <c r="H1454" s="340"/>
      <c r="I1454" s="341"/>
      <c r="J1454" s="341"/>
      <c r="K1454" s="341"/>
      <c r="L1454" s="341"/>
      <c r="M1454" s="342"/>
      <c r="N1454" s="341"/>
      <c r="O1454" s="338">
        <f t="shared" si="633"/>
        <v>0</v>
      </c>
      <c r="P1454" s="341"/>
      <c r="Q1454" s="431"/>
      <c r="T1454" s="418"/>
    </row>
    <row r="1455" spans="3:26" ht="15" hidden="1" outlineLevel="2">
      <c r="C1455" s="1464"/>
      <c r="D1455" s="1464"/>
      <c r="E1455" s="1459"/>
      <c r="F1455" s="1462"/>
      <c r="G1455" s="344"/>
      <c r="H1455" s="354"/>
      <c r="I1455" s="345"/>
      <c r="J1455" s="345"/>
      <c r="K1455" s="345"/>
      <c r="L1455" s="345"/>
      <c r="M1455" s="346"/>
      <c r="N1455" s="345"/>
      <c r="O1455" s="338">
        <f t="shared" si="633"/>
        <v>0</v>
      </c>
      <c r="P1455" s="345"/>
      <c r="Q1455" s="432"/>
      <c r="T1455" s="418"/>
    </row>
    <row r="1456" spans="3:26" ht="15" hidden="1" outlineLevel="2">
      <c r="C1456" s="1464"/>
      <c r="D1456" s="1464"/>
      <c r="E1456" s="1459"/>
      <c r="F1456" s="1462"/>
      <c r="G1456" s="343"/>
      <c r="H1456" s="340"/>
      <c r="I1456" s="341"/>
      <c r="J1456" s="341"/>
      <c r="K1456" s="341"/>
      <c r="L1456" s="341"/>
      <c r="M1456" s="342"/>
      <c r="N1456" s="341"/>
      <c r="O1456" s="338">
        <f t="shared" si="633"/>
        <v>0</v>
      </c>
      <c r="P1456" s="341"/>
      <c r="Q1456" s="431"/>
      <c r="T1456" s="418"/>
    </row>
    <row r="1457" spans="3:20" ht="15" hidden="1" outlineLevel="2">
      <c r="C1457" s="1464"/>
      <c r="D1457" s="1464"/>
      <c r="E1457" s="1459"/>
      <c r="F1457" s="1462"/>
      <c r="G1457" s="1454" t="s">
        <v>45</v>
      </c>
      <c r="H1457" s="1455"/>
      <c r="I1457" s="371">
        <f>SUM(I1447:I1456)</f>
        <v>0</v>
      </c>
      <c r="J1457" s="371">
        <f t="shared" ref="J1457:K1457" si="677">SUM(J1447:J1456)</f>
        <v>0</v>
      </c>
      <c r="K1457" s="371">
        <f t="shared" si="677"/>
        <v>0</v>
      </c>
      <c r="L1457" s="371">
        <f t="shared" ref="L1457" si="678">SUM(L1447:L1456)</f>
        <v>0</v>
      </c>
      <c r="M1457" s="359"/>
      <c r="N1457" s="371">
        <f>N1447</f>
        <v>0</v>
      </c>
      <c r="O1457" s="367">
        <f t="shared" si="633"/>
        <v>0</v>
      </c>
      <c r="P1457" s="371">
        <f t="shared" ref="P1457:Q1457" si="679">SUM(P1447:P1456)</f>
        <v>0</v>
      </c>
      <c r="Q1457" s="438">
        <f t="shared" si="679"/>
        <v>0</v>
      </c>
      <c r="T1457" s="418"/>
    </row>
    <row r="1458" spans="3:20" ht="15" hidden="1" outlineLevel="2">
      <c r="C1458" s="1464"/>
      <c r="D1458" s="1464"/>
      <c r="E1458" s="1459"/>
      <c r="F1458" s="1462"/>
      <c r="G1458" s="350"/>
      <c r="H1458" s="335"/>
      <c r="I1458" s="336"/>
      <c r="J1458" s="336"/>
      <c r="K1458" s="336"/>
      <c r="L1458" s="336"/>
      <c r="M1458" s="337"/>
      <c r="N1458" s="336"/>
      <c r="O1458" s="338">
        <f t="shared" si="633"/>
        <v>0</v>
      </c>
      <c r="P1458" s="336"/>
      <c r="Q1458" s="430"/>
      <c r="T1458" s="418"/>
    </row>
    <row r="1459" spans="3:20" ht="15" hidden="1" outlineLevel="2">
      <c r="C1459" s="1464"/>
      <c r="D1459" s="1464"/>
      <c r="E1459" s="1459"/>
      <c r="F1459" s="1462"/>
      <c r="G1459" s="343"/>
      <c r="H1459" s="340"/>
      <c r="I1459" s="341"/>
      <c r="J1459" s="341"/>
      <c r="K1459" s="341"/>
      <c r="L1459" s="341"/>
      <c r="M1459" s="342"/>
      <c r="N1459" s="341"/>
      <c r="O1459" s="338">
        <f t="shared" si="633"/>
        <v>0</v>
      </c>
      <c r="P1459" s="341"/>
      <c r="Q1459" s="431"/>
      <c r="T1459" s="418"/>
    </row>
    <row r="1460" spans="3:20" ht="15" hidden="1" outlineLevel="2">
      <c r="C1460" s="1464"/>
      <c r="D1460" s="1464"/>
      <c r="E1460" s="1459"/>
      <c r="F1460" s="1462"/>
      <c r="G1460" s="343"/>
      <c r="H1460" s="340"/>
      <c r="I1460" s="341"/>
      <c r="J1460" s="341"/>
      <c r="K1460" s="341"/>
      <c r="L1460" s="341"/>
      <c r="M1460" s="337"/>
      <c r="N1460" s="341"/>
      <c r="O1460" s="338">
        <f t="shared" si="633"/>
        <v>0</v>
      </c>
      <c r="P1460" s="341"/>
      <c r="Q1460" s="431"/>
      <c r="T1460" s="418"/>
    </row>
    <row r="1461" spans="3:20" ht="15" hidden="1" outlineLevel="2">
      <c r="C1461" s="1464"/>
      <c r="D1461" s="1464"/>
      <c r="E1461" s="1459"/>
      <c r="F1461" s="1462"/>
      <c r="G1461" s="343"/>
      <c r="H1461" s="340"/>
      <c r="I1461" s="341"/>
      <c r="J1461" s="341"/>
      <c r="K1461" s="341"/>
      <c r="L1461" s="341"/>
      <c r="M1461" s="342"/>
      <c r="N1461" s="341"/>
      <c r="O1461" s="338">
        <f t="shared" si="633"/>
        <v>0</v>
      </c>
      <c r="P1461" s="341"/>
      <c r="Q1461" s="431"/>
      <c r="T1461" s="418"/>
    </row>
    <row r="1462" spans="3:20" ht="15" hidden="1" outlineLevel="2">
      <c r="C1462" s="1464"/>
      <c r="D1462" s="1464"/>
      <c r="E1462" s="1459"/>
      <c r="F1462" s="1462"/>
      <c r="G1462" s="343"/>
      <c r="H1462" s="340"/>
      <c r="I1462" s="341"/>
      <c r="J1462" s="341"/>
      <c r="K1462" s="341"/>
      <c r="L1462" s="341"/>
      <c r="M1462" s="342"/>
      <c r="N1462" s="341"/>
      <c r="O1462" s="338">
        <f t="shared" si="633"/>
        <v>0</v>
      </c>
      <c r="P1462" s="341"/>
      <c r="Q1462" s="431"/>
      <c r="T1462" s="418"/>
    </row>
    <row r="1463" spans="3:20" ht="15" hidden="1" outlineLevel="2">
      <c r="C1463" s="1464"/>
      <c r="D1463" s="1464"/>
      <c r="E1463" s="1459"/>
      <c r="F1463" s="1462"/>
      <c r="G1463" s="343"/>
      <c r="H1463" s="340"/>
      <c r="I1463" s="341"/>
      <c r="J1463" s="341"/>
      <c r="K1463" s="341"/>
      <c r="L1463" s="341"/>
      <c r="M1463" s="342"/>
      <c r="N1463" s="341"/>
      <c r="O1463" s="338">
        <f t="shared" si="633"/>
        <v>0</v>
      </c>
      <c r="P1463" s="341"/>
      <c r="Q1463" s="431"/>
      <c r="T1463" s="418"/>
    </row>
    <row r="1464" spans="3:20" ht="15" hidden="1" outlineLevel="2">
      <c r="C1464" s="1464"/>
      <c r="D1464" s="1464"/>
      <c r="E1464" s="1459"/>
      <c r="F1464" s="1462"/>
      <c r="G1464" s="343"/>
      <c r="H1464" s="340"/>
      <c r="I1464" s="341"/>
      <c r="J1464" s="341"/>
      <c r="K1464" s="341"/>
      <c r="L1464" s="341"/>
      <c r="M1464" s="342"/>
      <c r="N1464" s="341"/>
      <c r="O1464" s="338">
        <f t="shared" si="633"/>
        <v>0</v>
      </c>
      <c r="P1464" s="341"/>
      <c r="Q1464" s="431"/>
      <c r="T1464" s="418"/>
    </row>
    <row r="1465" spans="3:20" ht="15" hidden="1" outlineLevel="2">
      <c r="C1465" s="1464"/>
      <c r="D1465" s="1464"/>
      <c r="E1465" s="1459"/>
      <c r="F1465" s="1462"/>
      <c r="G1465" s="343"/>
      <c r="H1465" s="340"/>
      <c r="I1465" s="341"/>
      <c r="J1465" s="341"/>
      <c r="K1465" s="341"/>
      <c r="L1465" s="341"/>
      <c r="M1465" s="342"/>
      <c r="N1465" s="341"/>
      <c r="O1465" s="338">
        <f t="shared" si="633"/>
        <v>0</v>
      </c>
      <c r="P1465" s="341"/>
      <c r="Q1465" s="431"/>
      <c r="T1465" s="418"/>
    </row>
    <row r="1466" spans="3:20" ht="15" hidden="1" outlineLevel="2">
      <c r="C1466" s="1464"/>
      <c r="D1466" s="1464"/>
      <c r="E1466" s="1459"/>
      <c r="F1466" s="1462"/>
      <c r="G1466" s="344"/>
      <c r="H1466" s="354"/>
      <c r="I1466" s="345"/>
      <c r="J1466" s="345"/>
      <c r="K1466" s="345"/>
      <c r="L1466" s="345"/>
      <c r="M1466" s="346"/>
      <c r="N1466" s="345"/>
      <c r="O1466" s="338">
        <f t="shared" si="633"/>
        <v>0</v>
      </c>
      <c r="P1466" s="345"/>
      <c r="Q1466" s="432"/>
      <c r="T1466" s="418"/>
    </row>
    <row r="1467" spans="3:20" ht="15" hidden="1" outlineLevel="2">
      <c r="C1467" s="1464"/>
      <c r="D1467" s="1464"/>
      <c r="E1467" s="1459"/>
      <c r="F1467" s="1462"/>
      <c r="G1467" s="343"/>
      <c r="H1467" s="340"/>
      <c r="I1467" s="341"/>
      <c r="J1467" s="341"/>
      <c r="K1467" s="341"/>
      <c r="L1467" s="341"/>
      <c r="M1467" s="342"/>
      <c r="N1467" s="341"/>
      <c r="O1467" s="338">
        <f t="shared" si="633"/>
        <v>0</v>
      </c>
      <c r="P1467" s="341"/>
      <c r="Q1467" s="431"/>
      <c r="T1467" s="418"/>
    </row>
    <row r="1468" spans="3:20" ht="15" hidden="1" outlineLevel="2">
      <c r="C1468" s="1464"/>
      <c r="D1468" s="1464"/>
      <c r="E1468" s="1459"/>
      <c r="F1468" s="1462"/>
      <c r="G1468" s="1454" t="s">
        <v>51</v>
      </c>
      <c r="H1468" s="1455"/>
      <c r="I1468" s="371">
        <f>SUM(I1458:I1467)</f>
        <v>0</v>
      </c>
      <c r="J1468" s="371">
        <f t="shared" ref="J1468:K1468" si="680">SUM(J1458:J1467)</f>
        <v>0</v>
      </c>
      <c r="K1468" s="371">
        <f t="shared" si="680"/>
        <v>0</v>
      </c>
      <c r="L1468" s="371">
        <f t="shared" ref="L1468" si="681">SUM(L1458:L1467)</f>
        <v>0</v>
      </c>
      <c r="M1468" s="359"/>
      <c r="N1468" s="371">
        <f>N1458</f>
        <v>0</v>
      </c>
      <c r="O1468" s="367">
        <f t="shared" si="633"/>
        <v>0</v>
      </c>
      <c r="P1468" s="371">
        <f t="shared" ref="P1468:Q1468" si="682">SUM(P1458:P1467)</f>
        <v>0</v>
      </c>
      <c r="Q1468" s="438">
        <f t="shared" si="682"/>
        <v>0</v>
      </c>
      <c r="T1468" s="418"/>
    </row>
    <row r="1469" spans="3:20" ht="15" hidden="1" outlineLevel="2">
      <c r="C1469" s="1464"/>
      <c r="D1469" s="1464"/>
      <c r="E1469" s="1459"/>
      <c r="F1469" s="1462"/>
      <c r="G1469" s="350"/>
      <c r="H1469" s="335"/>
      <c r="I1469" s="336"/>
      <c r="J1469" s="336"/>
      <c r="K1469" s="336"/>
      <c r="L1469" s="336"/>
      <c r="M1469" s="337"/>
      <c r="N1469" s="336"/>
      <c r="O1469" s="338">
        <f t="shared" si="633"/>
        <v>0</v>
      </c>
      <c r="P1469" s="336"/>
      <c r="Q1469" s="430"/>
      <c r="T1469" s="418"/>
    </row>
    <row r="1470" spans="3:20" ht="15" hidden="1" outlineLevel="2">
      <c r="C1470" s="1464"/>
      <c r="D1470" s="1464"/>
      <c r="E1470" s="1459"/>
      <c r="F1470" s="1462"/>
      <c r="G1470" s="343"/>
      <c r="H1470" s="340"/>
      <c r="I1470" s="341"/>
      <c r="J1470" s="341"/>
      <c r="K1470" s="341"/>
      <c r="L1470" s="341"/>
      <c r="M1470" s="342"/>
      <c r="N1470" s="341"/>
      <c r="O1470" s="338">
        <f t="shared" si="633"/>
        <v>0</v>
      </c>
      <c r="P1470" s="341"/>
      <c r="Q1470" s="431"/>
      <c r="T1470" s="418"/>
    </row>
    <row r="1471" spans="3:20" ht="15" hidden="1" outlineLevel="2">
      <c r="C1471" s="1464"/>
      <c r="D1471" s="1464"/>
      <c r="E1471" s="1459"/>
      <c r="F1471" s="1462"/>
      <c r="G1471" s="343"/>
      <c r="H1471" s="340"/>
      <c r="I1471" s="341"/>
      <c r="J1471" s="341"/>
      <c r="K1471" s="341"/>
      <c r="L1471" s="341"/>
      <c r="M1471" s="337"/>
      <c r="N1471" s="341"/>
      <c r="O1471" s="338">
        <f t="shared" si="633"/>
        <v>0</v>
      </c>
      <c r="P1471" s="341"/>
      <c r="Q1471" s="431"/>
      <c r="T1471" s="418"/>
    </row>
    <row r="1472" spans="3:20" ht="15" hidden="1" outlineLevel="2">
      <c r="C1472" s="1464"/>
      <c r="D1472" s="1464"/>
      <c r="E1472" s="1459"/>
      <c r="F1472" s="1462"/>
      <c r="G1472" s="343"/>
      <c r="H1472" s="340"/>
      <c r="I1472" s="341"/>
      <c r="J1472" s="341"/>
      <c r="K1472" s="341"/>
      <c r="L1472" s="341"/>
      <c r="M1472" s="342"/>
      <c r="N1472" s="341"/>
      <c r="O1472" s="338">
        <f t="shared" ref="O1472:O1535" si="683">IF(N1472=0,0,N1472/J1472)</f>
        <v>0</v>
      </c>
      <c r="P1472" s="341"/>
      <c r="Q1472" s="431"/>
      <c r="T1472" s="418"/>
    </row>
    <row r="1473" spans="3:20" ht="15" hidden="1" outlineLevel="2">
      <c r="C1473" s="1464"/>
      <c r="D1473" s="1464"/>
      <c r="E1473" s="1459"/>
      <c r="F1473" s="1462"/>
      <c r="G1473" s="343"/>
      <c r="H1473" s="340"/>
      <c r="I1473" s="341"/>
      <c r="J1473" s="341"/>
      <c r="K1473" s="341"/>
      <c r="L1473" s="341"/>
      <c r="M1473" s="342"/>
      <c r="N1473" s="341"/>
      <c r="O1473" s="338">
        <f t="shared" si="683"/>
        <v>0</v>
      </c>
      <c r="P1473" s="341"/>
      <c r="Q1473" s="431"/>
      <c r="T1473" s="418"/>
    </row>
    <row r="1474" spans="3:20" ht="15" hidden="1" outlineLevel="2">
      <c r="C1474" s="1464"/>
      <c r="D1474" s="1464"/>
      <c r="E1474" s="1459"/>
      <c r="F1474" s="1462"/>
      <c r="G1474" s="343"/>
      <c r="H1474" s="340"/>
      <c r="I1474" s="341"/>
      <c r="J1474" s="341"/>
      <c r="K1474" s="341"/>
      <c r="L1474" s="341"/>
      <c r="M1474" s="342"/>
      <c r="N1474" s="341"/>
      <c r="O1474" s="338">
        <f t="shared" si="683"/>
        <v>0</v>
      </c>
      <c r="P1474" s="341"/>
      <c r="Q1474" s="431"/>
      <c r="T1474" s="418"/>
    </row>
    <row r="1475" spans="3:20" ht="15" hidden="1" outlineLevel="2">
      <c r="C1475" s="1464"/>
      <c r="D1475" s="1464"/>
      <c r="E1475" s="1459"/>
      <c r="F1475" s="1462"/>
      <c r="G1475" s="343"/>
      <c r="H1475" s="340"/>
      <c r="I1475" s="341"/>
      <c r="J1475" s="341"/>
      <c r="K1475" s="341"/>
      <c r="L1475" s="341"/>
      <c r="M1475" s="342"/>
      <c r="N1475" s="341"/>
      <c r="O1475" s="338">
        <f t="shared" si="683"/>
        <v>0</v>
      </c>
      <c r="P1475" s="341"/>
      <c r="Q1475" s="431"/>
      <c r="T1475" s="418"/>
    </row>
    <row r="1476" spans="3:20" ht="15" hidden="1" outlineLevel="2">
      <c r="C1476" s="1464"/>
      <c r="D1476" s="1464"/>
      <c r="E1476" s="1459"/>
      <c r="F1476" s="1462"/>
      <c r="G1476" s="343"/>
      <c r="H1476" s="340"/>
      <c r="I1476" s="341"/>
      <c r="J1476" s="341"/>
      <c r="K1476" s="341"/>
      <c r="L1476" s="341"/>
      <c r="M1476" s="342"/>
      <c r="N1476" s="341"/>
      <c r="O1476" s="338">
        <f t="shared" si="683"/>
        <v>0</v>
      </c>
      <c r="P1476" s="341"/>
      <c r="Q1476" s="431"/>
      <c r="T1476" s="418"/>
    </row>
    <row r="1477" spans="3:20" ht="15" hidden="1" outlineLevel="2">
      <c r="C1477" s="1464"/>
      <c r="D1477" s="1464"/>
      <c r="E1477" s="1459"/>
      <c r="F1477" s="1462"/>
      <c r="G1477" s="344"/>
      <c r="H1477" s="354"/>
      <c r="I1477" s="345"/>
      <c r="J1477" s="345"/>
      <c r="K1477" s="345"/>
      <c r="L1477" s="345"/>
      <c r="M1477" s="346"/>
      <c r="N1477" s="345"/>
      <c r="O1477" s="338">
        <f t="shared" si="683"/>
        <v>0</v>
      </c>
      <c r="P1477" s="345"/>
      <c r="Q1477" s="432"/>
      <c r="T1477" s="418"/>
    </row>
    <row r="1478" spans="3:20" ht="15" hidden="1" outlineLevel="2">
      <c r="C1478" s="1464"/>
      <c r="D1478" s="1464"/>
      <c r="E1478" s="1459"/>
      <c r="F1478" s="1462"/>
      <c r="G1478" s="343"/>
      <c r="H1478" s="340"/>
      <c r="I1478" s="341"/>
      <c r="J1478" s="341"/>
      <c r="K1478" s="341"/>
      <c r="L1478" s="341"/>
      <c r="M1478" s="342"/>
      <c r="N1478" s="341"/>
      <c r="O1478" s="338">
        <f t="shared" si="683"/>
        <v>0</v>
      </c>
      <c r="P1478" s="341"/>
      <c r="Q1478" s="431"/>
      <c r="T1478" s="418"/>
    </row>
    <row r="1479" spans="3:20" ht="15" hidden="1" outlineLevel="2">
      <c r="C1479" s="1464"/>
      <c r="D1479" s="1464"/>
      <c r="E1479" s="1459"/>
      <c r="F1479" s="1462"/>
      <c r="G1479" s="1454" t="s">
        <v>44</v>
      </c>
      <c r="H1479" s="1455"/>
      <c r="I1479" s="371">
        <f>SUM(I1469:I1478)</f>
        <v>0</v>
      </c>
      <c r="J1479" s="371">
        <f t="shared" ref="J1479:K1479" si="684">SUM(J1469:J1478)</f>
        <v>0</v>
      </c>
      <c r="K1479" s="371">
        <f t="shared" si="684"/>
        <v>0</v>
      </c>
      <c r="L1479" s="371">
        <f t="shared" ref="L1479" si="685">SUM(L1469:L1478)</f>
        <v>0</v>
      </c>
      <c r="M1479" s="359"/>
      <c r="N1479" s="371">
        <f>N1469</f>
        <v>0</v>
      </c>
      <c r="O1479" s="367">
        <f t="shared" si="683"/>
        <v>0</v>
      </c>
      <c r="P1479" s="371">
        <f t="shared" ref="P1479:Q1479" si="686">SUM(P1469:P1478)</f>
        <v>0</v>
      </c>
      <c r="Q1479" s="438">
        <f t="shared" si="686"/>
        <v>0</v>
      </c>
      <c r="T1479" s="418"/>
    </row>
    <row r="1480" spans="3:20" ht="15" hidden="1" outlineLevel="1" collapsed="1">
      <c r="C1480" s="1464"/>
      <c r="D1480" s="1464"/>
      <c r="E1480" s="1459"/>
      <c r="F1480" s="1463"/>
      <c r="G1480" s="1454" t="s">
        <v>177</v>
      </c>
      <c r="H1480" s="1455"/>
      <c r="I1480" s="371">
        <f>(I1457/usdrate)+(I1468*jodrate)+I1479</f>
        <v>0</v>
      </c>
      <c r="J1480" s="371">
        <f>(J1457/usdrate)+(J1468*jodrate)+J1479</f>
        <v>0</v>
      </c>
      <c r="K1480" s="371">
        <f>(K1457/usdrate)+(K1468*jodrate)+K1479</f>
        <v>0</v>
      </c>
      <c r="L1480" s="371">
        <f>(L1457/usdrate)+(L1468*jodrate)+L1479</f>
        <v>0</v>
      </c>
      <c r="M1480" s="359"/>
      <c r="N1480" s="371">
        <f>(N1457/usdrate)+(N1468*jodrate)+N1479</f>
        <v>0</v>
      </c>
      <c r="O1480" s="367">
        <f t="shared" si="683"/>
        <v>0</v>
      </c>
      <c r="P1480" s="371">
        <f>(P1457/usdrate)+(P1468*jodrate)+P1479</f>
        <v>0</v>
      </c>
      <c r="Q1480" s="438">
        <f>(Q1457/usdrate)+(Q1468*jodrate)+Q1479</f>
        <v>0</v>
      </c>
      <c r="T1480" s="418"/>
    </row>
    <row r="1481" spans="3:20" ht="15" hidden="1" outlineLevel="2">
      <c r="C1481" s="1464"/>
      <c r="D1481" s="1464"/>
      <c r="E1481" s="1459"/>
      <c r="F1481" s="1461" t="s">
        <v>171</v>
      </c>
      <c r="G1481" s="353"/>
      <c r="H1481" s="340"/>
      <c r="I1481" s="341"/>
      <c r="J1481" s="341"/>
      <c r="K1481" s="370"/>
      <c r="L1481" s="370"/>
      <c r="M1481" s="337"/>
      <c r="N1481" s="336"/>
      <c r="O1481" s="338">
        <f t="shared" si="683"/>
        <v>0</v>
      </c>
      <c r="P1481" s="341"/>
      <c r="Q1481" s="431"/>
      <c r="T1481" s="418"/>
    </row>
    <row r="1482" spans="3:20" ht="15" hidden="1" outlineLevel="2">
      <c r="C1482" s="1464"/>
      <c r="D1482" s="1464"/>
      <c r="E1482" s="1459"/>
      <c r="F1482" s="1462"/>
      <c r="G1482" s="343"/>
      <c r="H1482" s="340"/>
      <c r="I1482" s="341"/>
      <c r="J1482" s="341"/>
      <c r="K1482" s="341"/>
      <c r="L1482" s="341"/>
      <c r="M1482" s="342"/>
      <c r="N1482" s="341">
        <v>0</v>
      </c>
      <c r="O1482" s="338">
        <f t="shared" si="683"/>
        <v>0</v>
      </c>
      <c r="P1482" s="341"/>
      <c r="Q1482" s="431"/>
      <c r="T1482" s="418"/>
    </row>
    <row r="1483" spans="3:20" ht="15" hidden="1" outlineLevel="2">
      <c r="C1483" s="1464"/>
      <c r="D1483" s="1464"/>
      <c r="E1483" s="1459"/>
      <c r="F1483" s="1462"/>
      <c r="G1483" s="343"/>
      <c r="H1483" s="340"/>
      <c r="I1483" s="341"/>
      <c r="J1483" s="341"/>
      <c r="K1483" s="341"/>
      <c r="L1483" s="341"/>
      <c r="M1483" s="337"/>
      <c r="N1483" s="341"/>
      <c r="O1483" s="338">
        <f t="shared" si="683"/>
        <v>0</v>
      </c>
      <c r="P1483" s="341"/>
      <c r="Q1483" s="431"/>
      <c r="T1483" s="418"/>
    </row>
    <row r="1484" spans="3:20" ht="15" hidden="1" outlineLevel="2">
      <c r="C1484" s="1464"/>
      <c r="D1484" s="1464"/>
      <c r="E1484" s="1459"/>
      <c r="F1484" s="1462"/>
      <c r="G1484" s="343"/>
      <c r="H1484" s="340"/>
      <c r="I1484" s="341"/>
      <c r="J1484" s="341"/>
      <c r="K1484" s="341"/>
      <c r="L1484" s="341"/>
      <c r="M1484" s="342"/>
      <c r="N1484" s="341"/>
      <c r="O1484" s="338">
        <f t="shared" si="683"/>
        <v>0</v>
      </c>
      <c r="P1484" s="341"/>
      <c r="Q1484" s="431"/>
      <c r="T1484" s="418"/>
    </row>
    <row r="1485" spans="3:20" ht="15" hidden="1" outlineLevel="2">
      <c r="C1485" s="1464"/>
      <c r="D1485" s="1464"/>
      <c r="E1485" s="1459"/>
      <c r="F1485" s="1462"/>
      <c r="G1485" s="343"/>
      <c r="H1485" s="340"/>
      <c r="I1485" s="341"/>
      <c r="J1485" s="341"/>
      <c r="K1485" s="341"/>
      <c r="L1485" s="341"/>
      <c r="M1485" s="342"/>
      <c r="N1485" s="341"/>
      <c r="O1485" s="338">
        <f t="shared" si="683"/>
        <v>0</v>
      </c>
      <c r="P1485" s="341"/>
      <c r="Q1485" s="431"/>
      <c r="T1485" s="418"/>
    </row>
    <row r="1486" spans="3:20" ht="15" hidden="1" outlineLevel="2">
      <c r="C1486" s="1464"/>
      <c r="D1486" s="1464"/>
      <c r="E1486" s="1459"/>
      <c r="F1486" s="1462"/>
      <c r="G1486" s="343"/>
      <c r="H1486" s="340"/>
      <c r="I1486" s="341"/>
      <c r="J1486" s="341"/>
      <c r="K1486" s="341"/>
      <c r="L1486" s="341"/>
      <c r="M1486" s="342"/>
      <c r="N1486" s="341"/>
      <c r="O1486" s="338">
        <f t="shared" si="683"/>
        <v>0</v>
      </c>
      <c r="P1486" s="341"/>
      <c r="Q1486" s="431"/>
      <c r="T1486" s="418"/>
    </row>
    <row r="1487" spans="3:20" ht="15" hidden="1" outlineLevel="2">
      <c r="C1487" s="1464"/>
      <c r="D1487" s="1464"/>
      <c r="E1487" s="1459"/>
      <c r="F1487" s="1462"/>
      <c r="G1487" s="343"/>
      <c r="H1487" s="340"/>
      <c r="I1487" s="341"/>
      <c r="J1487" s="341"/>
      <c r="K1487" s="341"/>
      <c r="L1487" s="341"/>
      <c r="M1487" s="342"/>
      <c r="N1487" s="341"/>
      <c r="O1487" s="338">
        <f t="shared" si="683"/>
        <v>0</v>
      </c>
      <c r="P1487" s="341"/>
      <c r="Q1487" s="431"/>
      <c r="T1487" s="418"/>
    </row>
    <row r="1488" spans="3:20" ht="15" hidden="1" outlineLevel="2">
      <c r="C1488" s="1464"/>
      <c r="D1488" s="1464"/>
      <c r="E1488" s="1459"/>
      <c r="F1488" s="1462"/>
      <c r="G1488" s="343"/>
      <c r="H1488" s="340"/>
      <c r="I1488" s="341"/>
      <c r="J1488" s="341"/>
      <c r="K1488" s="341"/>
      <c r="L1488" s="341"/>
      <c r="M1488" s="342"/>
      <c r="N1488" s="341"/>
      <c r="O1488" s="338">
        <f t="shared" si="683"/>
        <v>0</v>
      </c>
      <c r="P1488" s="341"/>
      <c r="Q1488" s="431"/>
      <c r="T1488" s="418"/>
    </row>
    <row r="1489" spans="3:20" ht="15" hidden="1" outlineLevel="2">
      <c r="C1489" s="1464"/>
      <c r="D1489" s="1464"/>
      <c r="E1489" s="1459"/>
      <c r="F1489" s="1462"/>
      <c r="G1489" s="344"/>
      <c r="H1489" s="354"/>
      <c r="I1489" s="345"/>
      <c r="J1489" s="345"/>
      <c r="K1489" s="345"/>
      <c r="L1489" s="345"/>
      <c r="M1489" s="346"/>
      <c r="N1489" s="345"/>
      <c r="O1489" s="338">
        <f t="shared" si="683"/>
        <v>0</v>
      </c>
      <c r="P1489" s="345"/>
      <c r="Q1489" s="432"/>
      <c r="T1489" s="418"/>
    </row>
    <row r="1490" spans="3:20" ht="15" hidden="1" outlineLevel="2">
      <c r="C1490" s="1464"/>
      <c r="D1490" s="1464"/>
      <c r="E1490" s="1459"/>
      <c r="F1490" s="1462"/>
      <c r="G1490" s="343"/>
      <c r="H1490" s="340"/>
      <c r="I1490" s="341"/>
      <c r="J1490" s="341"/>
      <c r="K1490" s="341"/>
      <c r="L1490" s="341"/>
      <c r="M1490" s="342"/>
      <c r="N1490" s="341"/>
      <c r="O1490" s="338">
        <f t="shared" si="683"/>
        <v>0</v>
      </c>
      <c r="P1490" s="341"/>
      <c r="Q1490" s="431"/>
      <c r="T1490" s="418"/>
    </row>
    <row r="1491" spans="3:20" ht="15" hidden="1" outlineLevel="2">
      <c r="C1491" s="1464"/>
      <c r="D1491" s="1464"/>
      <c r="E1491" s="1459"/>
      <c r="F1491" s="1462"/>
      <c r="G1491" s="1454" t="s">
        <v>45</v>
      </c>
      <c r="H1491" s="1455"/>
      <c r="I1491" s="371">
        <f>SUM(I1481:I1490)</f>
        <v>0</v>
      </c>
      <c r="J1491" s="371">
        <f t="shared" ref="J1491:K1491" si="687">SUM(J1481:J1490)</f>
        <v>0</v>
      </c>
      <c r="K1491" s="371">
        <f t="shared" si="687"/>
        <v>0</v>
      </c>
      <c r="L1491" s="371">
        <f t="shared" ref="L1491" si="688">SUM(L1481:L1490)</f>
        <v>0</v>
      </c>
      <c r="M1491" s="359"/>
      <c r="N1491" s="371">
        <f>N1481</f>
        <v>0</v>
      </c>
      <c r="O1491" s="367">
        <f t="shared" si="683"/>
        <v>0</v>
      </c>
      <c r="P1491" s="371">
        <f t="shared" ref="P1491:Q1491" si="689">SUM(P1481:P1490)</f>
        <v>0</v>
      </c>
      <c r="Q1491" s="438">
        <f t="shared" si="689"/>
        <v>0</v>
      </c>
      <c r="T1491" s="418"/>
    </row>
    <row r="1492" spans="3:20" ht="15" hidden="1" outlineLevel="2">
      <c r="C1492" s="1464"/>
      <c r="D1492" s="1464"/>
      <c r="E1492" s="1459"/>
      <c r="F1492" s="1462"/>
      <c r="G1492" s="350"/>
      <c r="H1492" s="335"/>
      <c r="I1492" s="336"/>
      <c r="J1492" s="336"/>
      <c r="K1492" s="336"/>
      <c r="L1492" s="336"/>
      <c r="M1492" s="337"/>
      <c r="N1492" s="336"/>
      <c r="O1492" s="338">
        <f t="shared" si="683"/>
        <v>0</v>
      </c>
      <c r="P1492" s="336"/>
      <c r="Q1492" s="430"/>
      <c r="T1492" s="418"/>
    </row>
    <row r="1493" spans="3:20" ht="15" hidden="1" outlineLevel="2">
      <c r="C1493" s="1464"/>
      <c r="D1493" s="1464"/>
      <c r="E1493" s="1459"/>
      <c r="F1493" s="1462"/>
      <c r="G1493" s="343"/>
      <c r="H1493" s="340"/>
      <c r="I1493" s="341"/>
      <c r="J1493" s="341"/>
      <c r="K1493" s="341"/>
      <c r="L1493" s="341"/>
      <c r="M1493" s="342"/>
      <c r="N1493" s="341"/>
      <c r="O1493" s="338">
        <f t="shared" si="683"/>
        <v>0</v>
      </c>
      <c r="P1493" s="341"/>
      <c r="Q1493" s="431"/>
      <c r="T1493" s="418"/>
    </row>
    <row r="1494" spans="3:20" ht="15" hidden="1" outlineLevel="2">
      <c r="C1494" s="1464"/>
      <c r="D1494" s="1464"/>
      <c r="E1494" s="1459"/>
      <c r="F1494" s="1462"/>
      <c r="G1494" s="343"/>
      <c r="H1494" s="340"/>
      <c r="I1494" s="341"/>
      <c r="J1494" s="341"/>
      <c r="K1494" s="341"/>
      <c r="L1494" s="341"/>
      <c r="M1494" s="337"/>
      <c r="N1494" s="341"/>
      <c r="O1494" s="338">
        <f t="shared" si="683"/>
        <v>0</v>
      </c>
      <c r="P1494" s="341"/>
      <c r="Q1494" s="431"/>
      <c r="T1494" s="418"/>
    </row>
    <row r="1495" spans="3:20" ht="15" hidden="1" outlineLevel="2">
      <c r="C1495" s="1464"/>
      <c r="D1495" s="1464"/>
      <c r="E1495" s="1459"/>
      <c r="F1495" s="1462"/>
      <c r="G1495" s="343"/>
      <c r="H1495" s="340"/>
      <c r="I1495" s="341"/>
      <c r="J1495" s="341"/>
      <c r="K1495" s="341"/>
      <c r="L1495" s="341"/>
      <c r="M1495" s="342"/>
      <c r="N1495" s="341"/>
      <c r="O1495" s="338">
        <f t="shared" si="683"/>
        <v>0</v>
      </c>
      <c r="P1495" s="341"/>
      <c r="Q1495" s="431"/>
      <c r="T1495" s="418"/>
    </row>
    <row r="1496" spans="3:20" ht="15" hidden="1" outlineLevel="2">
      <c r="C1496" s="1464"/>
      <c r="D1496" s="1464"/>
      <c r="E1496" s="1459"/>
      <c r="F1496" s="1462"/>
      <c r="G1496" s="343"/>
      <c r="H1496" s="340"/>
      <c r="I1496" s="341"/>
      <c r="J1496" s="341"/>
      <c r="K1496" s="341"/>
      <c r="L1496" s="341"/>
      <c r="M1496" s="342"/>
      <c r="N1496" s="341"/>
      <c r="O1496" s="338">
        <f t="shared" si="683"/>
        <v>0</v>
      </c>
      <c r="P1496" s="341"/>
      <c r="Q1496" s="431"/>
      <c r="T1496" s="418"/>
    </row>
    <row r="1497" spans="3:20" ht="15" hidden="1" outlineLevel="2">
      <c r="C1497" s="1464"/>
      <c r="D1497" s="1464"/>
      <c r="E1497" s="1459"/>
      <c r="F1497" s="1462"/>
      <c r="G1497" s="343"/>
      <c r="H1497" s="340"/>
      <c r="I1497" s="341"/>
      <c r="J1497" s="341"/>
      <c r="K1497" s="341"/>
      <c r="L1497" s="341"/>
      <c r="M1497" s="342"/>
      <c r="N1497" s="341"/>
      <c r="O1497" s="338">
        <f t="shared" si="683"/>
        <v>0</v>
      </c>
      <c r="P1497" s="341"/>
      <c r="Q1497" s="431"/>
      <c r="T1497" s="418"/>
    </row>
    <row r="1498" spans="3:20" ht="15" hidden="1" outlineLevel="2">
      <c r="C1498" s="1464"/>
      <c r="D1498" s="1464"/>
      <c r="E1498" s="1459"/>
      <c r="F1498" s="1462"/>
      <c r="G1498" s="343"/>
      <c r="H1498" s="340"/>
      <c r="I1498" s="341"/>
      <c r="J1498" s="341"/>
      <c r="K1498" s="341"/>
      <c r="L1498" s="341"/>
      <c r="M1498" s="342"/>
      <c r="N1498" s="341"/>
      <c r="O1498" s="338">
        <f t="shared" si="683"/>
        <v>0</v>
      </c>
      <c r="P1498" s="341"/>
      <c r="Q1498" s="431"/>
      <c r="T1498" s="418"/>
    </row>
    <row r="1499" spans="3:20" ht="15" hidden="1" outlineLevel="2">
      <c r="C1499" s="1464"/>
      <c r="D1499" s="1464"/>
      <c r="E1499" s="1459"/>
      <c r="F1499" s="1462"/>
      <c r="G1499" s="343"/>
      <c r="H1499" s="340"/>
      <c r="I1499" s="341"/>
      <c r="J1499" s="341"/>
      <c r="K1499" s="341"/>
      <c r="L1499" s="341"/>
      <c r="M1499" s="342"/>
      <c r="N1499" s="341"/>
      <c r="O1499" s="338">
        <f t="shared" si="683"/>
        <v>0</v>
      </c>
      <c r="P1499" s="341"/>
      <c r="Q1499" s="431"/>
      <c r="T1499" s="418"/>
    </row>
    <row r="1500" spans="3:20" ht="15" hidden="1" outlineLevel="2">
      <c r="C1500" s="1464"/>
      <c r="D1500" s="1464"/>
      <c r="E1500" s="1459"/>
      <c r="F1500" s="1462"/>
      <c r="G1500" s="344"/>
      <c r="H1500" s="354"/>
      <c r="I1500" s="345"/>
      <c r="J1500" s="345"/>
      <c r="K1500" s="345"/>
      <c r="L1500" s="345"/>
      <c r="M1500" s="346"/>
      <c r="N1500" s="345"/>
      <c r="O1500" s="338">
        <f t="shared" si="683"/>
        <v>0</v>
      </c>
      <c r="P1500" s="345"/>
      <c r="Q1500" s="432"/>
      <c r="T1500" s="418"/>
    </row>
    <row r="1501" spans="3:20" ht="15" hidden="1" outlineLevel="2">
      <c r="C1501" s="1464"/>
      <c r="D1501" s="1464"/>
      <c r="E1501" s="1459"/>
      <c r="F1501" s="1462"/>
      <c r="G1501" s="343"/>
      <c r="H1501" s="340"/>
      <c r="I1501" s="341"/>
      <c r="J1501" s="341"/>
      <c r="K1501" s="341"/>
      <c r="L1501" s="341"/>
      <c r="M1501" s="342"/>
      <c r="N1501" s="341"/>
      <c r="O1501" s="338">
        <f t="shared" si="683"/>
        <v>0</v>
      </c>
      <c r="P1501" s="341"/>
      <c r="Q1501" s="431"/>
      <c r="T1501" s="418"/>
    </row>
    <row r="1502" spans="3:20" ht="15" hidden="1" outlineLevel="2">
      <c r="C1502" s="1464"/>
      <c r="D1502" s="1464"/>
      <c r="E1502" s="1459"/>
      <c r="F1502" s="1462"/>
      <c r="G1502" s="1454" t="s">
        <v>51</v>
      </c>
      <c r="H1502" s="1455"/>
      <c r="I1502" s="371">
        <f>SUM(I1492:I1501)</f>
        <v>0</v>
      </c>
      <c r="J1502" s="371">
        <f t="shared" ref="J1502:K1502" si="690">SUM(J1492:J1501)</f>
        <v>0</v>
      </c>
      <c r="K1502" s="371">
        <f t="shared" si="690"/>
        <v>0</v>
      </c>
      <c r="L1502" s="371">
        <f t="shared" ref="L1502" si="691">SUM(L1492:L1501)</f>
        <v>0</v>
      </c>
      <c r="M1502" s="359"/>
      <c r="N1502" s="371">
        <f>N1492</f>
        <v>0</v>
      </c>
      <c r="O1502" s="367">
        <f t="shared" si="683"/>
        <v>0</v>
      </c>
      <c r="P1502" s="371">
        <f t="shared" ref="P1502:Q1502" si="692">SUM(P1492:P1501)</f>
        <v>0</v>
      </c>
      <c r="Q1502" s="438">
        <f t="shared" si="692"/>
        <v>0</v>
      </c>
      <c r="T1502" s="418"/>
    </row>
    <row r="1503" spans="3:20" ht="15" hidden="1" outlineLevel="2">
      <c r="C1503" s="1464"/>
      <c r="D1503" s="1464"/>
      <c r="E1503" s="1459"/>
      <c r="F1503" s="1462"/>
      <c r="G1503" s="350"/>
      <c r="H1503" s="335"/>
      <c r="I1503" s="336"/>
      <c r="J1503" s="336"/>
      <c r="K1503" s="336"/>
      <c r="L1503" s="336"/>
      <c r="M1503" s="337"/>
      <c r="N1503" s="336"/>
      <c r="O1503" s="338">
        <f t="shared" si="683"/>
        <v>0</v>
      </c>
      <c r="P1503" s="336"/>
      <c r="Q1503" s="430"/>
      <c r="T1503" s="418"/>
    </row>
    <row r="1504" spans="3:20" ht="15" hidden="1" outlineLevel="2">
      <c r="C1504" s="1464"/>
      <c r="D1504" s="1464"/>
      <c r="E1504" s="1459"/>
      <c r="F1504" s="1462"/>
      <c r="G1504" s="343"/>
      <c r="H1504" s="340"/>
      <c r="I1504" s="341"/>
      <c r="J1504" s="341"/>
      <c r="K1504" s="341"/>
      <c r="L1504" s="341"/>
      <c r="M1504" s="342"/>
      <c r="N1504" s="341"/>
      <c r="O1504" s="338">
        <f t="shared" si="683"/>
        <v>0</v>
      </c>
      <c r="P1504" s="341"/>
      <c r="Q1504" s="431"/>
      <c r="T1504" s="418"/>
    </row>
    <row r="1505" spans="3:20" ht="15" hidden="1" outlineLevel="2">
      <c r="C1505" s="1464"/>
      <c r="D1505" s="1464"/>
      <c r="E1505" s="1459"/>
      <c r="F1505" s="1462"/>
      <c r="G1505" s="343"/>
      <c r="H1505" s="340"/>
      <c r="I1505" s="341"/>
      <c r="J1505" s="341"/>
      <c r="K1505" s="341"/>
      <c r="L1505" s="341"/>
      <c r="M1505" s="337"/>
      <c r="N1505" s="341"/>
      <c r="O1505" s="338">
        <f t="shared" si="683"/>
        <v>0</v>
      </c>
      <c r="P1505" s="341"/>
      <c r="Q1505" s="431"/>
      <c r="T1505" s="418"/>
    </row>
    <row r="1506" spans="3:20" ht="15" hidden="1" outlineLevel="2">
      <c r="C1506" s="1464"/>
      <c r="D1506" s="1464"/>
      <c r="E1506" s="1459"/>
      <c r="F1506" s="1462"/>
      <c r="G1506" s="343"/>
      <c r="H1506" s="340"/>
      <c r="I1506" s="341"/>
      <c r="J1506" s="341"/>
      <c r="K1506" s="341"/>
      <c r="L1506" s="341"/>
      <c r="M1506" s="342"/>
      <c r="N1506" s="341"/>
      <c r="O1506" s="338">
        <f t="shared" si="683"/>
        <v>0</v>
      </c>
      <c r="P1506" s="341"/>
      <c r="Q1506" s="431"/>
      <c r="T1506" s="418"/>
    </row>
    <row r="1507" spans="3:20" ht="15" hidden="1" outlineLevel="2">
      <c r="C1507" s="1464"/>
      <c r="D1507" s="1464"/>
      <c r="E1507" s="1459"/>
      <c r="F1507" s="1462"/>
      <c r="G1507" s="343"/>
      <c r="H1507" s="340"/>
      <c r="I1507" s="341"/>
      <c r="J1507" s="341"/>
      <c r="K1507" s="341"/>
      <c r="L1507" s="341"/>
      <c r="M1507" s="342"/>
      <c r="N1507" s="341"/>
      <c r="O1507" s="338">
        <f t="shared" si="683"/>
        <v>0</v>
      </c>
      <c r="P1507" s="341"/>
      <c r="Q1507" s="431"/>
      <c r="T1507" s="418"/>
    </row>
    <row r="1508" spans="3:20" ht="15" hidden="1" outlineLevel="2">
      <c r="C1508" s="1464"/>
      <c r="D1508" s="1464"/>
      <c r="E1508" s="1459"/>
      <c r="F1508" s="1462"/>
      <c r="G1508" s="343"/>
      <c r="H1508" s="340"/>
      <c r="I1508" s="341"/>
      <c r="J1508" s="341"/>
      <c r="K1508" s="341"/>
      <c r="L1508" s="341"/>
      <c r="M1508" s="342"/>
      <c r="N1508" s="341"/>
      <c r="O1508" s="338">
        <f t="shared" si="683"/>
        <v>0</v>
      </c>
      <c r="P1508" s="341"/>
      <c r="Q1508" s="431"/>
      <c r="T1508" s="418"/>
    </row>
    <row r="1509" spans="3:20" ht="15" hidden="1" outlineLevel="2">
      <c r="C1509" s="1464"/>
      <c r="D1509" s="1464"/>
      <c r="E1509" s="1459"/>
      <c r="F1509" s="1462"/>
      <c r="G1509" s="343"/>
      <c r="H1509" s="340"/>
      <c r="I1509" s="341"/>
      <c r="J1509" s="341"/>
      <c r="K1509" s="341"/>
      <c r="L1509" s="341"/>
      <c r="M1509" s="342"/>
      <c r="N1509" s="341"/>
      <c r="O1509" s="338">
        <f t="shared" si="683"/>
        <v>0</v>
      </c>
      <c r="P1509" s="341"/>
      <c r="Q1509" s="431"/>
      <c r="T1509" s="418"/>
    </row>
    <row r="1510" spans="3:20" ht="15" hidden="1" outlineLevel="2">
      <c r="C1510" s="1464"/>
      <c r="D1510" s="1464"/>
      <c r="E1510" s="1459"/>
      <c r="F1510" s="1462"/>
      <c r="G1510" s="343"/>
      <c r="H1510" s="340"/>
      <c r="I1510" s="341"/>
      <c r="J1510" s="341"/>
      <c r="K1510" s="341"/>
      <c r="L1510" s="341"/>
      <c r="M1510" s="342"/>
      <c r="N1510" s="341"/>
      <c r="O1510" s="338">
        <f t="shared" si="683"/>
        <v>0</v>
      </c>
      <c r="P1510" s="341"/>
      <c r="Q1510" s="431"/>
      <c r="T1510" s="418"/>
    </row>
    <row r="1511" spans="3:20" ht="15" hidden="1" outlineLevel="2">
      <c r="C1511" s="1464"/>
      <c r="D1511" s="1464"/>
      <c r="E1511" s="1459"/>
      <c r="F1511" s="1462"/>
      <c r="G1511" s="344"/>
      <c r="H1511" s="354"/>
      <c r="I1511" s="345"/>
      <c r="J1511" s="345"/>
      <c r="K1511" s="345"/>
      <c r="L1511" s="345"/>
      <c r="M1511" s="346"/>
      <c r="N1511" s="345"/>
      <c r="O1511" s="338">
        <f t="shared" si="683"/>
        <v>0</v>
      </c>
      <c r="P1511" s="345"/>
      <c r="Q1511" s="432"/>
      <c r="T1511" s="418"/>
    </row>
    <row r="1512" spans="3:20" ht="15" hidden="1" outlineLevel="2">
      <c r="C1512" s="1464"/>
      <c r="D1512" s="1464"/>
      <c r="E1512" s="1459"/>
      <c r="F1512" s="1462"/>
      <c r="G1512" s="343"/>
      <c r="H1512" s="340"/>
      <c r="I1512" s="341"/>
      <c r="J1512" s="341"/>
      <c r="K1512" s="341"/>
      <c r="L1512" s="341"/>
      <c r="M1512" s="342"/>
      <c r="N1512" s="341"/>
      <c r="O1512" s="338">
        <f t="shared" si="683"/>
        <v>0</v>
      </c>
      <c r="P1512" s="341"/>
      <c r="Q1512" s="431"/>
      <c r="T1512" s="418"/>
    </row>
    <row r="1513" spans="3:20" ht="15" hidden="1" outlineLevel="2">
      <c r="C1513" s="1464"/>
      <c r="D1513" s="1464"/>
      <c r="E1513" s="1459"/>
      <c r="F1513" s="1462"/>
      <c r="G1513" s="1454" t="s">
        <v>44</v>
      </c>
      <c r="H1513" s="1455"/>
      <c r="I1513" s="371">
        <f>SUM(I1503:I1512)</f>
        <v>0</v>
      </c>
      <c r="J1513" s="371">
        <f t="shared" ref="J1513:K1513" si="693">SUM(J1503:J1512)</f>
        <v>0</v>
      </c>
      <c r="K1513" s="371">
        <f t="shared" si="693"/>
        <v>0</v>
      </c>
      <c r="L1513" s="371">
        <f t="shared" ref="L1513" si="694">SUM(L1503:L1512)</f>
        <v>0</v>
      </c>
      <c r="M1513" s="359"/>
      <c r="N1513" s="371">
        <f>N1503</f>
        <v>0</v>
      </c>
      <c r="O1513" s="367">
        <f t="shared" si="683"/>
        <v>0</v>
      </c>
      <c r="P1513" s="371">
        <f t="shared" ref="P1513:Q1513" si="695">SUM(P1503:P1512)</f>
        <v>0</v>
      </c>
      <c r="Q1513" s="438">
        <f t="shared" si="695"/>
        <v>0</v>
      </c>
      <c r="T1513" s="418"/>
    </row>
    <row r="1514" spans="3:20" ht="15" hidden="1" outlineLevel="1" collapsed="1">
      <c r="C1514" s="1464"/>
      <c r="D1514" s="1464"/>
      <c r="E1514" s="1459"/>
      <c r="F1514" s="1463"/>
      <c r="G1514" s="1454" t="s">
        <v>177</v>
      </c>
      <c r="H1514" s="1455"/>
      <c r="I1514" s="371">
        <f>(I1491/usdrate)+(I1502*jodrate)+I1513</f>
        <v>0</v>
      </c>
      <c r="J1514" s="371">
        <f>(J1491/usdrate)+(J1502*jodrate)+J1513</f>
        <v>0</v>
      </c>
      <c r="K1514" s="371">
        <f>(K1491/usdrate)+(K1502*jodrate)+K1513</f>
        <v>0</v>
      </c>
      <c r="L1514" s="371">
        <f>(L1491/usdrate)+(L1502*jodrate)+L1513</f>
        <v>0</v>
      </c>
      <c r="M1514" s="359"/>
      <c r="N1514" s="371">
        <f>(N1491/usdrate)+(N1502*jodrate)+N1513</f>
        <v>0</v>
      </c>
      <c r="O1514" s="367">
        <f t="shared" si="683"/>
        <v>0</v>
      </c>
      <c r="P1514" s="371">
        <f>(P1491/usdrate)+(P1502*jodrate)+P1513</f>
        <v>0</v>
      </c>
      <c r="Q1514" s="438">
        <f>(Q1491/usdrate)+(Q1502*jodrate)+Q1513</f>
        <v>0</v>
      </c>
      <c r="T1514" s="418"/>
    </row>
    <row r="1515" spans="3:20" ht="15" hidden="1" outlineLevel="2">
      <c r="C1515" s="1464"/>
      <c r="D1515" s="1464"/>
      <c r="E1515" s="1459"/>
      <c r="F1515" s="1461" t="s">
        <v>172</v>
      </c>
      <c r="G1515" s="350"/>
      <c r="H1515" s="335"/>
      <c r="I1515" s="336"/>
      <c r="J1515" s="336"/>
      <c r="K1515" s="336"/>
      <c r="L1515" s="336"/>
      <c r="M1515" s="337"/>
      <c r="N1515" s="336"/>
      <c r="O1515" s="338">
        <f t="shared" si="683"/>
        <v>0</v>
      </c>
      <c r="P1515" s="336"/>
      <c r="Q1515" s="430"/>
      <c r="T1515" s="418"/>
    </row>
    <row r="1516" spans="3:20" ht="15" hidden="1" outlineLevel="2">
      <c r="C1516" s="1464"/>
      <c r="D1516" s="1464"/>
      <c r="E1516" s="1459"/>
      <c r="F1516" s="1462"/>
      <c r="G1516" s="343"/>
      <c r="H1516" s="340"/>
      <c r="I1516" s="341"/>
      <c r="J1516" s="341"/>
      <c r="K1516" s="341"/>
      <c r="L1516" s="341"/>
      <c r="M1516" s="342"/>
      <c r="N1516" s="341"/>
      <c r="O1516" s="338">
        <f t="shared" si="683"/>
        <v>0</v>
      </c>
      <c r="P1516" s="341"/>
      <c r="Q1516" s="431"/>
      <c r="T1516" s="418"/>
    </row>
    <row r="1517" spans="3:20" ht="15" hidden="1" outlineLevel="2">
      <c r="C1517" s="1464"/>
      <c r="D1517" s="1464"/>
      <c r="E1517" s="1459"/>
      <c r="F1517" s="1462"/>
      <c r="G1517" s="343"/>
      <c r="H1517" s="340"/>
      <c r="I1517" s="341"/>
      <c r="J1517" s="341"/>
      <c r="K1517" s="341"/>
      <c r="L1517" s="341"/>
      <c r="M1517" s="337"/>
      <c r="N1517" s="341"/>
      <c r="O1517" s="338">
        <f t="shared" si="683"/>
        <v>0</v>
      </c>
      <c r="P1517" s="341"/>
      <c r="Q1517" s="431"/>
      <c r="T1517" s="418"/>
    </row>
    <row r="1518" spans="3:20" ht="15" hidden="1" outlineLevel="2">
      <c r="C1518" s="1464"/>
      <c r="D1518" s="1464"/>
      <c r="E1518" s="1459"/>
      <c r="F1518" s="1462"/>
      <c r="G1518" s="343"/>
      <c r="H1518" s="340"/>
      <c r="I1518" s="341"/>
      <c r="J1518" s="341"/>
      <c r="K1518" s="341"/>
      <c r="L1518" s="341"/>
      <c r="M1518" s="342"/>
      <c r="N1518" s="341"/>
      <c r="O1518" s="338">
        <f t="shared" si="683"/>
        <v>0</v>
      </c>
      <c r="P1518" s="341"/>
      <c r="Q1518" s="431"/>
      <c r="T1518" s="418"/>
    </row>
    <row r="1519" spans="3:20" ht="15" hidden="1" outlineLevel="2">
      <c r="C1519" s="1464"/>
      <c r="D1519" s="1464"/>
      <c r="E1519" s="1459"/>
      <c r="F1519" s="1462"/>
      <c r="G1519" s="343"/>
      <c r="H1519" s="340"/>
      <c r="I1519" s="341"/>
      <c r="J1519" s="341"/>
      <c r="K1519" s="341"/>
      <c r="L1519" s="341"/>
      <c r="M1519" s="342"/>
      <c r="N1519" s="341"/>
      <c r="O1519" s="338">
        <f t="shared" si="683"/>
        <v>0</v>
      </c>
      <c r="P1519" s="341"/>
      <c r="Q1519" s="431"/>
      <c r="T1519" s="418"/>
    </row>
    <row r="1520" spans="3:20" ht="15" hidden="1" outlineLevel="2">
      <c r="C1520" s="1464"/>
      <c r="D1520" s="1464"/>
      <c r="E1520" s="1459"/>
      <c r="F1520" s="1462"/>
      <c r="G1520" s="343"/>
      <c r="H1520" s="340"/>
      <c r="I1520" s="341"/>
      <c r="J1520" s="341"/>
      <c r="K1520" s="341"/>
      <c r="L1520" s="341"/>
      <c r="M1520" s="342"/>
      <c r="N1520" s="341"/>
      <c r="O1520" s="338">
        <f t="shared" si="683"/>
        <v>0</v>
      </c>
      <c r="P1520" s="341"/>
      <c r="Q1520" s="431"/>
      <c r="T1520" s="418"/>
    </row>
    <row r="1521" spans="3:20" ht="15" hidden="1" outlineLevel="2">
      <c r="C1521" s="1464"/>
      <c r="D1521" s="1464"/>
      <c r="E1521" s="1459"/>
      <c r="F1521" s="1462"/>
      <c r="G1521" s="343"/>
      <c r="H1521" s="340"/>
      <c r="I1521" s="341"/>
      <c r="J1521" s="341"/>
      <c r="K1521" s="341"/>
      <c r="L1521" s="341"/>
      <c r="M1521" s="342"/>
      <c r="N1521" s="341"/>
      <c r="O1521" s="338">
        <f t="shared" si="683"/>
        <v>0</v>
      </c>
      <c r="P1521" s="341"/>
      <c r="Q1521" s="431"/>
      <c r="T1521" s="418"/>
    </row>
    <row r="1522" spans="3:20" ht="15" hidden="1" outlineLevel="2">
      <c r="C1522" s="1464"/>
      <c r="D1522" s="1464"/>
      <c r="E1522" s="1459"/>
      <c r="F1522" s="1462"/>
      <c r="G1522" s="343"/>
      <c r="H1522" s="340"/>
      <c r="I1522" s="341"/>
      <c r="J1522" s="341"/>
      <c r="K1522" s="341"/>
      <c r="L1522" s="341"/>
      <c r="M1522" s="342"/>
      <c r="N1522" s="341"/>
      <c r="O1522" s="338">
        <f t="shared" si="683"/>
        <v>0</v>
      </c>
      <c r="P1522" s="341"/>
      <c r="Q1522" s="431"/>
      <c r="T1522" s="418"/>
    </row>
    <row r="1523" spans="3:20" ht="15" hidden="1" outlineLevel="2">
      <c r="C1523" s="1464"/>
      <c r="D1523" s="1464"/>
      <c r="E1523" s="1459"/>
      <c r="F1523" s="1462"/>
      <c r="G1523" s="344"/>
      <c r="H1523" s="354"/>
      <c r="I1523" s="345"/>
      <c r="J1523" s="345"/>
      <c r="K1523" s="345"/>
      <c r="L1523" s="345"/>
      <c r="M1523" s="346"/>
      <c r="N1523" s="345"/>
      <c r="O1523" s="338">
        <f t="shared" si="683"/>
        <v>0</v>
      </c>
      <c r="P1523" s="345"/>
      <c r="Q1523" s="432"/>
      <c r="T1523" s="418"/>
    </row>
    <row r="1524" spans="3:20" ht="15" hidden="1" outlineLevel="2">
      <c r="C1524" s="1464"/>
      <c r="D1524" s="1464"/>
      <c r="E1524" s="1459"/>
      <c r="F1524" s="1462"/>
      <c r="G1524" s="343"/>
      <c r="H1524" s="340"/>
      <c r="I1524" s="341"/>
      <c r="J1524" s="341"/>
      <c r="K1524" s="341"/>
      <c r="L1524" s="341"/>
      <c r="M1524" s="342"/>
      <c r="N1524" s="341"/>
      <c r="O1524" s="338">
        <f t="shared" si="683"/>
        <v>0</v>
      </c>
      <c r="P1524" s="341"/>
      <c r="Q1524" s="431"/>
      <c r="T1524" s="418"/>
    </row>
    <row r="1525" spans="3:20" ht="15" hidden="1" outlineLevel="2">
      <c r="C1525" s="1464"/>
      <c r="D1525" s="1464"/>
      <c r="E1525" s="1459"/>
      <c r="F1525" s="1462"/>
      <c r="G1525" s="1454" t="s">
        <v>51</v>
      </c>
      <c r="H1525" s="1455"/>
      <c r="I1525" s="371">
        <f>SUM(I1515:I1524)</f>
        <v>0</v>
      </c>
      <c r="J1525" s="371">
        <f t="shared" ref="J1525:K1525" si="696">SUM(J1515:J1524)</f>
        <v>0</v>
      </c>
      <c r="K1525" s="371">
        <f t="shared" si="696"/>
        <v>0</v>
      </c>
      <c r="L1525" s="371">
        <f t="shared" ref="L1525" si="697">SUM(L1515:L1524)</f>
        <v>0</v>
      </c>
      <c r="M1525" s="359"/>
      <c r="N1525" s="371">
        <f>N1515</f>
        <v>0</v>
      </c>
      <c r="O1525" s="367">
        <f t="shared" si="683"/>
        <v>0</v>
      </c>
      <c r="P1525" s="371">
        <f t="shared" ref="P1525:Q1525" si="698">SUM(P1515:P1524)</f>
        <v>0</v>
      </c>
      <c r="Q1525" s="438">
        <f t="shared" si="698"/>
        <v>0</v>
      </c>
      <c r="T1525" s="418"/>
    </row>
    <row r="1526" spans="3:20" ht="15" hidden="1" outlineLevel="2">
      <c r="C1526" s="1464"/>
      <c r="D1526" s="1464"/>
      <c r="E1526" s="1459"/>
      <c r="F1526" s="1462"/>
      <c r="G1526" s="350"/>
      <c r="H1526" s="335"/>
      <c r="I1526" s="336"/>
      <c r="J1526" s="336"/>
      <c r="K1526" s="336"/>
      <c r="L1526" s="336"/>
      <c r="M1526" s="337"/>
      <c r="N1526" s="336"/>
      <c r="O1526" s="338">
        <f t="shared" si="683"/>
        <v>0</v>
      </c>
      <c r="P1526" s="336"/>
      <c r="Q1526" s="430"/>
      <c r="T1526" s="418"/>
    </row>
    <row r="1527" spans="3:20" ht="15" hidden="1" outlineLevel="2">
      <c r="C1527" s="1464"/>
      <c r="D1527" s="1464"/>
      <c r="E1527" s="1459"/>
      <c r="F1527" s="1462"/>
      <c r="G1527" s="343"/>
      <c r="H1527" s="340"/>
      <c r="I1527" s="341"/>
      <c r="J1527" s="341"/>
      <c r="K1527" s="341"/>
      <c r="L1527" s="341"/>
      <c r="M1527" s="342"/>
      <c r="N1527" s="341"/>
      <c r="O1527" s="338">
        <f t="shared" si="683"/>
        <v>0</v>
      </c>
      <c r="P1527" s="341"/>
      <c r="Q1527" s="431"/>
      <c r="T1527" s="418"/>
    </row>
    <row r="1528" spans="3:20" ht="15" hidden="1" outlineLevel="2">
      <c r="C1528" s="1464"/>
      <c r="D1528" s="1464"/>
      <c r="E1528" s="1459"/>
      <c r="F1528" s="1462"/>
      <c r="G1528" s="343"/>
      <c r="H1528" s="340"/>
      <c r="I1528" s="341"/>
      <c r="J1528" s="341"/>
      <c r="K1528" s="341"/>
      <c r="L1528" s="341"/>
      <c r="M1528" s="337"/>
      <c r="N1528" s="341"/>
      <c r="O1528" s="338">
        <f t="shared" si="683"/>
        <v>0</v>
      </c>
      <c r="P1528" s="341"/>
      <c r="Q1528" s="431"/>
      <c r="T1528" s="418"/>
    </row>
    <row r="1529" spans="3:20" ht="15" hidden="1" outlineLevel="2">
      <c r="C1529" s="1464"/>
      <c r="D1529" s="1464"/>
      <c r="E1529" s="1459"/>
      <c r="F1529" s="1462"/>
      <c r="G1529" s="343"/>
      <c r="H1529" s="340"/>
      <c r="I1529" s="341"/>
      <c r="J1529" s="341"/>
      <c r="K1529" s="341"/>
      <c r="L1529" s="341"/>
      <c r="M1529" s="342"/>
      <c r="N1529" s="341"/>
      <c r="O1529" s="338">
        <f t="shared" si="683"/>
        <v>0</v>
      </c>
      <c r="P1529" s="341"/>
      <c r="Q1529" s="431"/>
      <c r="T1529" s="418"/>
    </row>
    <row r="1530" spans="3:20" ht="15" hidden="1" outlineLevel="2">
      <c r="C1530" s="1464"/>
      <c r="D1530" s="1464"/>
      <c r="E1530" s="1459"/>
      <c r="F1530" s="1462"/>
      <c r="G1530" s="343"/>
      <c r="H1530" s="340"/>
      <c r="I1530" s="341"/>
      <c r="J1530" s="341"/>
      <c r="K1530" s="341"/>
      <c r="L1530" s="341"/>
      <c r="M1530" s="342"/>
      <c r="N1530" s="341"/>
      <c r="O1530" s="338">
        <f t="shared" si="683"/>
        <v>0</v>
      </c>
      <c r="P1530" s="341"/>
      <c r="Q1530" s="431"/>
      <c r="T1530" s="418"/>
    </row>
    <row r="1531" spans="3:20" ht="15" hidden="1" outlineLevel="2">
      <c r="C1531" s="1464"/>
      <c r="D1531" s="1464"/>
      <c r="E1531" s="1459"/>
      <c r="F1531" s="1462"/>
      <c r="G1531" s="343"/>
      <c r="H1531" s="340"/>
      <c r="I1531" s="341"/>
      <c r="J1531" s="341"/>
      <c r="K1531" s="341"/>
      <c r="L1531" s="341"/>
      <c r="M1531" s="342"/>
      <c r="N1531" s="341"/>
      <c r="O1531" s="338">
        <f t="shared" si="683"/>
        <v>0</v>
      </c>
      <c r="P1531" s="341"/>
      <c r="Q1531" s="431"/>
      <c r="T1531" s="418"/>
    </row>
    <row r="1532" spans="3:20" ht="15" hidden="1" outlineLevel="2">
      <c r="C1532" s="1464"/>
      <c r="D1532" s="1464"/>
      <c r="E1532" s="1459"/>
      <c r="F1532" s="1462"/>
      <c r="G1532" s="343"/>
      <c r="H1532" s="340"/>
      <c r="I1532" s="341"/>
      <c r="J1532" s="341"/>
      <c r="K1532" s="341"/>
      <c r="L1532" s="341"/>
      <c r="M1532" s="342"/>
      <c r="N1532" s="341"/>
      <c r="O1532" s="338">
        <f t="shared" si="683"/>
        <v>0</v>
      </c>
      <c r="P1532" s="341"/>
      <c r="Q1532" s="431"/>
      <c r="T1532" s="418"/>
    </row>
    <row r="1533" spans="3:20" ht="15" hidden="1" outlineLevel="2">
      <c r="C1533" s="1464"/>
      <c r="D1533" s="1464"/>
      <c r="E1533" s="1459"/>
      <c r="F1533" s="1462"/>
      <c r="G1533" s="343"/>
      <c r="H1533" s="340"/>
      <c r="I1533" s="341"/>
      <c r="J1533" s="341"/>
      <c r="K1533" s="341"/>
      <c r="L1533" s="341"/>
      <c r="M1533" s="342"/>
      <c r="N1533" s="341"/>
      <c r="O1533" s="338">
        <f t="shared" si="683"/>
        <v>0</v>
      </c>
      <c r="P1533" s="341"/>
      <c r="Q1533" s="431"/>
      <c r="T1533" s="418"/>
    </row>
    <row r="1534" spans="3:20" ht="15" hidden="1" outlineLevel="2">
      <c r="C1534" s="1464"/>
      <c r="D1534" s="1464"/>
      <c r="E1534" s="1459"/>
      <c r="F1534" s="1462"/>
      <c r="G1534" s="344"/>
      <c r="H1534" s="354"/>
      <c r="I1534" s="345"/>
      <c r="J1534" s="345"/>
      <c r="K1534" s="345"/>
      <c r="L1534" s="345"/>
      <c r="M1534" s="346"/>
      <c r="N1534" s="345"/>
      <c r="O1534" s="338">
        <f t="shared" si="683"/>
        <v>0</v>
      </c>
      <c r="P1534" s="345"/>
      <c r="Q1534" s="432"/>
      <c r="T1534" s="418"/>
    </row>
    <row r="1535" spans="3:20" ht="15" hidden="1" outlineLevel="2">
      <c r="C1535" s="1464"/>
      <c r="D1535" s="1464"/>
      <c r="E1535" s="1459"/>
      <c r="F1535" s="1462"/>
      <c r="G1535" s="343"/>
      <c r="H1535" s="340"/>
      <c r="I1535" s="341"/>
      <c r="J1535" s="341"/>
      <c r="K1535" s="341"/>
      <c r="L1535" s="341"/>
      <c r="M1535" s="342"/>
      <c r="N1535" s="341"/>
      <c r="O1535" s="338">
        <f t="shared" si="683"/>
        <v>0</v>
      </c>
      <c r="P1535" s="341"/>
      <c r="Q1535" s="431"/>
      <c r="T1535" s="418"/>
    </row>
    <row r="1536" spans="3:20" ht="15" hidden="1" outlineLevel="2">
      <c r="C1536" s="1464"/>
      <c r="D1536" s="1464"/>
      <c r="E1536" s="1459"/>
      <c r="F1536" s="1462"/>
      <c r="G1536" s="1454" t="s">
        <v>44</v>
      </c>
      <c r="H1536" s="1455"/>
      <c r="I1536" s="371">
        <f>SUM(I1526:I1535)</f>
        <v>0</v>
      </c>
      <c r="J1536" s="371">
        <f t="shared" ref="J1536:K1536" si="699">SUM(J1526:J1535)</f>
        <v>0</v>
      </c>
      <c r="K1536" s="371">
        <f t="shared" si="699"/>
        <v>0</v>
      </c>
      <c r="L1536" s="371">
        <f t="shared" ref="L1536" si="700">SUM(L1526:L1535)</f>
        <v>0</v>
      </c>
      <c r="M1536" s="359"/>
      <c r="N1536" s="371">
        <f>N1526</f>
        <v>0</v>
      </c>
      <c r="O1536" s="367">
        <f t="shared" ref="O1536:O1599" si="701">IF(N1536=0,0,N1536/J1536)</f>
        <v>0</v>
      </c>
      <c r="P1536" s="371">
        <f t="shared" ref="P1536:Q1536" si="702">SUM(P1526:P1535)</f>
        <v>0</v>
      </c>
      <c r="Q1536" s="438">
        <f t="shared" si="702"/>
        <v>0</v>
      </c>
      <c r="T1536" s="418"/>
    </row>
    <row r="1537" spans="1:26" ht="15" hidden="1" outlineLevel="1" collapsed="1">
      <c r="C1537" s="1464"/>
      <c r="D1537" s="1464"/>
      <c r="E1537" s="1459"/>
      <c r="F1537" s="1463"/>
      <c r="G1537" s="1454" t="s">
        <v>177</v>
      </c>
      <c r="H1537" s="1455"/>
      <c r="I1537" s="371">
        <f>(I1525*jodrate)+I1536</f>
        <v>0</v>
      </c>
      <c r="J1537" s="371">
        <f>(J1525*jodrate)+J1536</f>
        <v>0</v>
      </c>
      <c r="K1537" s="371">
        <f>(K1525*jodrate)+K1536</f>
        <v>0</v>
      </c>
      <c r="L1537" s="371">
        <f>(L1525*jodrate)+L1536</f>
        <v>0</v>
      </c>
      <c r="M1537" s="359"/>
      <c r="N1537" s="371">
        <f>(N1525*jodrate)+N1536</f>
        <v>0</v>
      </c>
      <c r="O1537" s="367">
        <f t="shared" si="701"/>
        <v>0</v>
      </c>
      <c r="P1537" s="371">
        <f>(P1525*jodrate)+P1536</f>
        <v>0</v>
      </c>
      <c r="Q1537" s="438">
        <f>(Q1525*jodrate)+Q1536</f>
        <v>0</v>
      </c>
      <c r="T1537" s="418"/>
    </row>
    <row r="1538" spans="1:26" ht="15.75" collapsed="1" thickBot="1">
      <c r="C1538" s="1465"/>
      <c r="D1538" s="1465"/>
      <c r="E1538" s="1460"/>
      <c r="F1538" s="1456" t="s">
        <v>176</v>
      </c>
      <c r="G1538" s="1457"/>
      <c r="H1538" s="1457"/>
      <c r="I1538" s="372">
        <f>I1346+I1412+I1446+I1480+I1514+I1537</f>
        <v>0</v>
      </c>
      <c r="J1538" s="372">
        <f t="shared" ref="J1538:K1538" si="703">J1346+J1412+J1446+J1480+J1514+J1537</f>
        <v>0</v>
      </c>
      <c r="K1538" s="372">
        <f t="shared" si="703"/>
        <v>0</v>
      </c>
      <c r="L1538" s="372">
        <f t="shared" ref="L1538" si="704">L1346+L1412+L1446+L1480+L1514+L1537</f>
        <v>0</v>
      </c>
      <c r="M1538" s="372"/>
      <c r="N1538" s="372">
        <f t="shared" ref="N1538" si="705">N1346+N1412+N1446+N1480+N1514+N1537</f>
        <v>0</v>
      </c>
      <c r="O1538" s="373">
        <f t="shared" si="701"/>
        <v>0</v>
      </c>
      <c r="P1538" s="372">
        <f t="shared" ref="P1538:Q1538" si="706">P1346+P1412+P1446+P1480+P1514+P1537</f>
        <v>0</v>
      </c>
      <c r="Q1538" s="439">
        <f t="shared" si="706"/>
        <v>0</v>
      </c>
      <c r="T1538" s="418"/>
    </row>
    <row r="1539" spans="1:26" ht="15.75" hidden="1" outlineLevel="2" thickTop="1">
      <c r="A1539" s="39" t="s">
        <v>28</v>
      </c>
      <c r="B1539" s="47">
        <v>3.5000000000000003E-2</v>
      </c>
      <c r="C1539" s="1464">
        <f>التوصية!$B$139</f>
        <v>0</v>
      </c>
      <c r="D1539" s="1464"/>
      <c r="E1539" s="1466" t="s">
        <v>167</v>
      </c>
      <c r="F1539" s="1468" t="s">
        <v>169</v>
      </c>
      <c r="G1539" s="381"/>
      <c r="H1539" s="362" t="s">
        <v>4</v>
      </c>
      <c r="I1539" s="364"/>
      <c r="J1539" s="364"/>
      <c r="K1539" s="364" t="e">
        <f t="shared" ref="K1539:K1548" si="707">Z1539</f>
        <v>#DIV/0!</v>
      </c>
      <c r="L1539" s="364">
        <f t="shared" ref="L1539:L1548" si="708">AA1539</f>
        <v>0</v>
      </c>
      <c r="M1539" s="411"/>
      <c r="N1539" s="364"/>
      <c r="O1539" s="358">
        <f t="shared" si="701"/>
        <v>0</v>
      </c>
      <c r="P1539" s="364"/>
      <c r="Q1539" s="446"/>
      <c r="R1539" s="428">
        <f t="shared" ref="R1539:R1571" si="709">IF(H1539="USD",$B$4,IF(H1539="ILS",$B$2,IF(H1539="JOD",$B$3,"")))</f>
        <v>0.05</v>
      </c>
      <c r="S1539" s="45">
        <f>J1539*R1539</f>
        <v>0</v>
      </c>
      <c r="T1539" s="425">
        <f>I1539*R1539</f>
        <v>0</v>
      </c>
      <c r="U1539" s="46"/>
      <c r="V1539" s="407">
        <f>U1539/12</f>
        <v>0</v>
      </c>
      <c r="W1539" s="45">
        <f>T1539*V1539</f>
        <v>0</v>
      </c>
      <c r="X1539" s="45">
        <f>W1539/usdrate</f>
        <v>0</v>
      </c>
      <c r="Y1539" s="45">
        <f t="shared" ref="Y1539:Y1548" si="710">I1539+W1539</f>
        <v>0</v>
      </c>
      <c r="Z1539" s="45" t="e">
        <f>Y1539/U1539</f>
        <v>#DIV/0!</v>
      </c>
    </row>
    <row r="1540" spans="1:26" ht="15" hidden="1" outlineLevel="2">
      <c r="A1540" s="40" t="s">
        <v>22</v>
      </c>
      <c r="B1540" s="48">
        <v>3.5000000000000003E-2</v>
      </c>
      <c r="C1540" s="1464"/>
      <c r="D1540" s="1464"/>
      <c r="E1540" s="1466"/>
      <c r="F1540" s="1468"/>
      <c r="G1540" s="339"/>
      <c r="H1540" s="340" t="s">
        <v>4</v>
      </c>
      <c r="I1540" s="341"/>
      <c r="J1540" s="341"/>
      <c r="K1540" s="336" t="e">
        <f t="shared" si="707"/>
        <v>#DIV/0!</v>
      </c>
      <c r="L1540" s="336">
        <f t="shared" si="708"/>
        <v>0</v>
      </c>
      <c r="M1540" s="342"/>
      <c r="N1540" s="341"/>
      <c r="O1540" s="338">
        <f t="shared" si="701"/>
        <v>0</v>
      </c>
      <c r="P1540" s="341"/>
      <c r="Q1540" s="431"/>
      <c r="R1540" s="428">
        <f t="shared" si="709"/>
        <v>0.05</v>
      </c>
      <c r="S1540" s="45">
        <f t="shared" ref="S1540:S1548" si="711">R1540*J1540</f>
        <v>0</v>
      </c>
      <c r="T1540" s="425">
        <f t="shared" ref="T1540:T1548" si="712">R1540*I1540</f>
        <v>0</v>
      </c>
      <c r="U1540" s="46"/>
      <c r="V1540" s="407">
        <f>U1540/12</f>
        <v>0</v>
      </c>
      <c r="W1540" s="45">
        <f>T1540*V1540</f>
        <v>0</v>
      </c>
      <c r="X1540" s="45">
        <f>W1540/usdrate</f>
        <v>0</v>
      </c>
      <c r="Y1540" s="45">
        <f t="shared" si="710"/>
        <v>0</v>
      </c>
      <c r="Z1540" s="45" t="e">
        <f>Y1540/U1540</f>
        <v>#DIV/0!</v>
      </c>
    </row>
    <row r="1541" spans="1:26" ht="15" hidden="1" outlineLevel="2">
      <c r="C1541" s="1464"/>
      <c r="D1541" s="1464"/>
      <c r="E1541" s="1466"/>
      <c r="F1541" s="1468"/>
      <c r="G1541" s="343"/>
      <c r="H1541" s="340" t="s">
        <v>4</v>
      </c>
      <c r="I1541" s="341"/>
      <c r="J1541" s="341"/>
      <c r="K1541" s="341" t="e">
        <f t="shared" si="707"/>
        <v>#DIV/0!</v>
      </c>
      <c r="L1541" s="341">
        <f t="shared" si="708"/>
        <v>0</v>
      </c>
      <c r="M1541" s="337"/>
      <c r="N1541" s="341"/>
      <c r="O1541" s="338">
        <f t="shared" si="701"/>
        <v>0</v>
      </c>
      <c r="P1541" s="341"/>
      <c r="Q1541" s="431"/>
      <c r="R1541" s="428">
        <f t="shared" si="709"/>
        <v>0.05</v>
      </c>
      <c r="S1541" s="45">
        <f t="shared" si="711"/>
        <v>0</v>
      </c>
      <c r="T1541" s="425">
        <f t="shared" si="712"/>
        <v>0</v>
      </c>
      <c r="U1541" s="46"/>
      <c r="V1541" s="407">
        <f t="shared" ref="V1541:V1548" si="713">U1541/12</f>
        <v>0</v>
      </c>
      <c r="W1541" s="45">
        <f t="shared" ref="W1541:W1548" si="714">T1541*V1541</f>
        <v>0</v>
      </c>
      <c r="X1541" s="45"/>
      <c r="Y1541" s="45">
        <f t="shared" si="710"/>
        <v>0</v>
      </c>
      <c r="Z1541" s="45" t="e">
        <f t="shared" ref="Z1541:Z1548" si="715">Y1541/U1541</f>
        <v>#DIV/0!</v>
      </c>
    </row>
    <row r="1542" spans="1:26" ht="15" hidden="1" outlineLevel="2">
      <c r="C1542" s="1464"/>
      <c r="D1542" s="1464"/>
      <c r="E1542" s="1466"/>
      <c r="F1542" s="1468"/>
      <c r="G1542" s="343"/>
      <c r="H1542" s="340" t="s">
        <v>4</v>
      </c>
      <c r="I1542" s="341"/>
      <c r="J1542" s="341"/>
      <c r="K1542" s="341" t="e">
        <f t="shared" si="707"/>
        <v>#DIV/0!</v>
      </c>
      <c r="L1542" s="341">
        <f t="shared" si="708"/>
        <v>0</v>
      </c>
      <c r="M1542" s="342"/>
      <c r="N1542" s="341"/>
      <c r="O1542" s="338">
        <f t="shared" si="701"/>
        <v>0</v>
      </c>
      <c r="P1542" s="341"/>
      <c r="Q1542" s="431"/>
      <c r="R1542" s="428">
        <f t="shared" si="709"/>
        <v>0.05</v>
      </c>
      <c r="S1542" s="45">
        <f t="shared" si="711"/>
        <v>0</v>
      </c>
      <c r="T1542" s="425">
        <f t="shared" si="712"/>
        <v>0</v>
      </c>
      <c r="U1542" s="46"/>
      <c r="V1542" s="407">
        <f t="shared" si="713"/>
        <v>0</v>
      </c>
      <c r="W1542" s="45">
        <f t="shared" si="714"/>
        <v>0</v>
      </c>
      <c r="X1542" s="45"/>
      <c r="Y1542" s="45">
        <f t="shared" si="710"/>
        <v>0</v>
      </c>
      <c r="Z1542" s="45" t="e">
        <f t="shared" si="715"/>
        <v>#DIV/0!</v>
      </c>
    </row>
    <row r="1543" spans="1:26" ht="15" hidden="1" outlineLevel="2">
      <c r="C1543" s="1464"/>
      <c r="D1543" s="1464"/>
      <c r="E1543" s="1466"/>
      <c r="F1543" s="1468"/>
      <c r="G1543" s="343"/>
      <c r="H1543" s="340" t="s">
        <v>4</v>
      </c>
      <c r="I1543" s="341"/>
      <c r="J1543" s="341"/>
      <c r="K1543" s="341" t="e">
        <f t="shared" si="707"/>
        <v>#DIV/0!</v>
      </c>
      <c r="L1543" s="341">
        <f t="shared" si="708"/>
        <v>0</v>
      </c>
      <c r="M1543" s="342"/>
      <c r="N1543" s="341"/>
      <c r="O1543" s="338">
        <f t="shared" si="701"/>
        <v>0</v>
      </c>
      <c r="P1543" s="341"/>
      <c r="Q1543" s="431"/>
      <c r="R1543" s="428">
        <f t="shared" si="709"/>
        <v>0.05</v>
      </c>
      <c r="S1543" s="45">
        <f t="shared" si="711"/>
        <v>0</v>
      </c>
      <c r="T1543" s="425">
        <f t="shared" si="712"/>
        <v>0</v>
      </c>
      <c r="U1543" s="46"/>
      <c r="V1543" s="407">
        <f t="shared" si="713"/>
        <v>0</v>
      </c>
      <c r="W1543" s="45">
        <f t="shared" si="714"/>
        <v>0</v>
      </c>
      <c r="X1543" s="45"/>
      <c r="Y1543" s="45">
        <f t="shared" si="710"/>
        <v>0</v>
      </c>
      <c r="Z1543" s="45" t="e">
        <f t="shared" si="715"/>
        <v>#DIV/0!</v>
      </c>
    </row>
    <row r="1544" spans="1:26" ht="15" hidden="1" outlineLevel="2">
      <c r="C1544" s="1464"/>
      <c r="D1544" s="1464"/>
      <c r="E1544" s="1466"/>
      <c r="F1544" s="1468"/>
      <c r="G1544" s="343"/>
      <c r="H1544" s="340" t="s">
        <v>4</v>
      </c>
      <c r="I1544" s="341"/>
      <c r="J1544" s="341"/>
      <c r="K1544" s="341" t="e">
        <f t="shared" si="707"/>
        <v>#DIV/0!</v>
      </c>
      <c r="L1544" s="341">
        <f t="shared" si="708"/>
        <v>0</v>
      </c>
      <c r="M1544" s="342"/>
      <c r="N1544" s="341"/>
      <c r="O1544" s="338">
        <f t="shared" si="701"/>
        <v>0</v>
      </c>
      <c r="P1544" s="341"/>
      <c r="Q1544" s="431"/>
      <c r="R1544" s="428">
        <f t="shared" si="709"/>
        <v>0.05</v>
      </c>
      <c r="S1544" s="45">
        <f t="shared" si="711"/>
        <v>0</v>
      </c>
      <c r="T1544" s="425">
        <f t="shared" si="712"/>
        <v>0</v>
      </c>
      <c r="U1544" s="46"/>
      <c r="V1544" s="407">
        <f t="shared" si="713"/>
        <v>0</v>
      </c>
      <c r="W1544" s="45">
        <f t="shared" si="714"/>
        <v>0</v>
      </c>
      <c r="X1544" s="45"/>
      <c r="Y1544" s="45">
        <f t="shared" si="710"/>
        <v>0</v>
      </c>
      <c r="Z1544" s="45" t="e">
        <f t="shared" si="715"/>
        <v>#DIV/0!</v>
      </c>
    </row>
    <row r="1545" spans="1:26" ht="15" hidden="1" outlineLevel="2">
      <c r="C1545" s="1464"/>
      <c r="D1545" s="1464"/>
      <c r="E1545" s="1466"/>
      <c r="F1545" s="1468"/>
      <c r="G1545" s="343"/>
      <c r="H1545" s="340" t="s">
        <v>4</v>
      </c>
      <c r="I1545" s="341"/>
      <c r="J1545" s="341"/>
      <c r="K1545" s="341" t="e">
        <f t="shared" si="707"/>
        <v>#DIV/0!</v>
      </c>
      <c r="L1545" s="341">
        <f t="shared" si="708"/>
        <v>0</v>
      </c>
      <c r="M1545" s="342"/>
      <c r="N1545" s="341"/>
      <c r="O1545" s="338">
        <f t="shared" si="701"/>
        <v>0</v>
      </c>
      <c r="P1545" s="341"/>
      <c r="Q1545" s="431"/>
      <c r="R1545" s="428">
        <f t="shared" si="709"/>
        <v>0.05</v>
      </c>
      <c r="S1545" s="45">
        <f t="shared" si="711"/>
        <v>0</v>
      </c>
      <c r="T1545" s="425">
        <f t="shared" si="712"/>
        <v>0</v>
      </c>
      <c r="U1545" s="46"/>
      <c r="V1545" s="407">
        <f t="shared" si="713"/>
        <v>0</v>
      </c>
      <c r="W1545" s="45">
        <f t="shared" si="714"/>
        <v>0</v>
      </c>
      <c r="X1545" s="45"/>
      <c r="Y1545" s="45">
        <f t="shared" si="710"/>
        <v>0</v>
      </c>
      <c r="Z1545" s="45" t="e">
        <f t="shared" si="715"/>
        <v>#DIV/0!</v>
      </c>
    </row>
    <row r="1546" spans="1:26" ht="15" hidden="1" outlineLevel="2">
      <c r="C1546" s="1464"/>
      <c r="D1546" s="1464"/>
      <c r="E1546" s="1466"/>
      <c r="F1546" s="1468"/>
      <c r="G1546" s="343"/>
      <c r="H1546" s="340" t="s">
        <v>4</v>
      </c>
      <c r="I1546" s="341"/>
      <c r="J1546" s="341"/>
      <c r="K1546" s="341" t="e">
        <f t="shared" si="707"/>
        <v>#DIV/0!</v>
      </c>
      <c r="L1546" s="341">
        <f t="shared" si="708"/>
        <v>0</v>
      </c>
      <c r="M1546" s="342"/>
      <c r="N1546" s="341"/>
      <c r="O1546" s="338">
        <f t="shared" si="701"/>
        <v>0</v>
      </c>
      <c r="P1546" s="341"/>
      <c r="Q1546" s="431"/>
      <c r="R1546" s="428">
        <f t="shared" si="709"/>
        <v>0.05</v>
      </c>
      <c r="S1546" s="45">
        <f t="shared" si="711"/>
        <v>0</v>
      </c>
      <c r="T1546" s="425">
        <f t="shared" si="712"/>
        <v>0</v>
      </c>
      <c r="U1546" s="46"/>
      <c r="V1546" s="407">
        <f t="shared" si="713"/>
        <v>0</v>
      </c>
      <c r="W1546" s="45">
        <f t="shared" si="714"/>
        <v>0</v>
      </c>
      <c r="X1546" s="45"/>
      <c r="Y1546" s="45">
        <f t="shared" si="710"/>
        <v>0</v>
      </c>
      <c r="Z1546" s="45" t="e">
        <f t="shared" si="715"/>
        <v>#DIV/0!</v>
      </c>
    </row>
    <row r="1547" spans="1:26" ht="15" hidden="1" outlineLevel="2">
      <c r="C1547" s="1464"/>
      <c r="D1547" s="1464"/>
      <c r="E1547" s="1466"/>
      <c r="F1547" s="1468"/>
      <c r="G1547" s="344"/>
      <c r="H1547" s="340" t="s">
        <v>4</v>
      </c>
      <c r="I1547" s="345"/>
      <c r="J1547" s="345"/>
      <c r="K1547" s="341" t="e">
        <f t="shared" si="707"/>
        <v>#DIV/0!</v>
      </c>
      <c r="L1547" s="341">
        <f t="shared" si="708"/>
        <v>0</v>
      </c>
      <c r="M1547" s="346"/>
      <c r="N1547" s="345"/>
      <c r="O1547" s="338">
        <f t="shared" si="701"/>
        <v>0</v>
      </c>
      <c r="P1547" s="345"/>
      <c r="Q1547" s="432"/>
      <c r="R1547" s="428">
        <f t="shared" si="709"/>
        <v>0.05</v>
      </c>
      <c r="S1547" s="45">
        <f t="shared" si="711"/>
        <v>0</v>
      </c>
      <c r="T1547" s="425">
        <f t="shared" si="712"/>
        <v>0</v>
      </c>
      <c r="U1547" s="46"/>
      <c r="V1547" s="407">
        <f t="shared" si="713"/>
        <v>0</v>
      </c>
      <c r="W1547" s="45">
        <f t="shared" si="714"/>
        <v>0</v>
      </c>
      <c r="X1547" s="45"/>
      <c r="Y1547" s="45">
        <f t="shared" si="710"/>
        <v>0</v>
      </c>
      <c r="Z1547" s="45" t="e">
        <f t="shared" si="715"/>
        <v>#DIV/0!</v>
      </c>
    </row>
    <row r="1548" spans="1:26" ht="15" hidden="1" outlineLevel="2">
      <c r="C1548" s="1464"/>
      <c r="D1548" s="1464"/>
      <c r="E1548" s="1466"/>
      <c r="F1548" s="1468"/>
      <c r="G1548" s="343"/>
      <c r="H1548" s="340" t="s">
        <v>4</v>
      </c>
      <c r="I1548" s="341"/>
      <c r="J1548" s="341"/>
      <c r="K1548" s="341" t="e">
        <f t="shared" si="707"/>
        <v>#DIV/0!</v>
      </c>
      <c r="L1548" s="341">
        <f t="shared" si="708"/>
        <v>0</v>
      </c>
      <c r="M1548" s="342"/>
      <c r="N1548" s="341"/>
      <c r="O1548" s="338">
        <f t="shared" si="701"/>
        <v>0</v>
      </c>
      <c r="P1548" s="341"/>
      <c r="Q1548" s="431"/>
      <c r="R1548" s="428">
        <f t="shared" si="709"/>
        <v>0.05</v>
      </c>
      <c r="S1548" s="45">
        <f t="shared" si="711"/>
        <v>0</v>
      </c>
      <c r="T1548" s="425">
        <f t="shared" si="712"/>
        <v>0</v>
      </c>
      <c r="U1548" s="46"/>
      <c r="V1548" s="407">
        <f t="shared" si="713"/>
        <v>0</v>
      </c>
      <c r="W1548" s="45">
        <f t="shared" si="714"/>
        <v>0</v>
      </c>
      <c r="X1548" s="45"/>
      <c r="Y1548" s="45">
        <f t="shared" si="710"/>
        <v>0</v>
      </c>
      <c r="Z1548" s="45" t="e">
        <f t="shared" si="715"/>
        <v>#DIV/0!</v>
      </c>
    </row>
    <row r="1549" spans="1:26" ht="15" hidden="1" outlineLevel="2">
      <c r="C1549" s="1464"/>
      <c r="D1549" s="1464"/>
      <c r="E1549" s="1466"/>
      <c r="F1549" s="1468"/>
      <c r="G1549" s="1470" t="s">
        <v>45</v>
      </c>
      <c r="H1549" s="1471"/>
      <c r="I1549" s="347">
        <f>SUM(I1539:I1548)</f>
        <v>0</v>
      </c>
      <c r="J1549" s="347">
        <f t="shared" ref="J1549" si="716">SUM(J1539:J1548)</f>
        <v>0</v>
      </c>
      <c r="K1549" s="347">
        <f>SUMIFS(K1539:K1548,K1539:K1548,"&lt;&gt;",K1539:K1548,"&lt;"&amp;99^99)</f>
        <v>0</v>
      </c>
      <c r="L1549" s="347">
        <f>SUMIFS(L1539:L1548,L1539:L1548,"&lt;&gt;",L1539:L1548,"&lt;"&amp;99^99)</f>
        <v>0</v>
      </c>
      <c r="M1549" s="348"/>
      <c r="N1549" s="347">
        <f>N1539</f>
        <v>0</v>
      </c>
      <c r="O1549" s="349">
        <f t="shared" si="701"/>
        <v>0</v>
      </c>
      <c r="P1549" s="347">
        <f t="shared" ref="P1549:Q1549" si="717">SUM(P1539:P1548)</f>
        <v>0</v>
      </c>
      <c r="Q1549" s="433">
        <f t="shared" si="717"/>
        <v>0</v>
      </c>
      <c r="R1549" s="55" t="str">
        <f t="shared" si="709"/>
        <v/>
      </c>
      <c r="S1549" s="408">
        <f>SUM(S1539:S1548)</f>
        <v>0</v>
      </c>
      <c r="T1549" s="426">
        <f t="shared" ref="T1549" si="718">SUM(T1539:T1548)</f>
        <v>0</v>
      </c>
      <c r="U1549" s="408"/>
      <c r="V1549" s="408"/>
      <c r="W1549" s="408">
        <f t="shared" ref="W1549" si="719">SUM(W1539:W1548)</f>
        <v>0</v>
      </c>
      <c r="X1549" s="408"/>
      <c r="Y1549" s="408">
        <f t="shared" ref="Y1549" si="720">SUM(Y1539:Y1548)</f>
        <v>0</v>
      </c>
      <c r="Z1549" s="408">
        <f>SUMIFS(Z1539:Z1548,Y1539:Y1548,"&lt;&gt;",Z1539:Z1548,"&lt;"&amp;99^99)</f>
        <v>0</v>
      </c>
    </row>
    <row r="1550" spans="1:26" ht="15" hidden="1" outlineLevel="2">
      <c r="C1550" s="1464"/>
      <c r="D1550" s="1464"/>
      <c r="E1550" s="1466"/>
      <c r="F1550" s="1468"/>
      <c r="G1550" s="350"/>
      <c r="H1550" s="335" t="s">
        <v>28</v>
      </c>
      <c r="I1550" s="336"/>
      <c r="J1550" s="336"/>
      <c r="K1550" s="341" t="e">
        <f t="shared" ref="K1550:K1559" si="721">Z1550</f>
        <v>#DIV/0!</v>
      </c>
      <c r="L1550" s="341">
        <f t="shared" ref="L1550:L1559" si="722">AA1550</f>
        <v>0</v>
      </c>
      <c r="M1550" s="337"/>
      <c r="N1550" s="336"/>
      <c r="O1550" s="338">
        <f t="shared" si="701"/>
        <v>0</v>
      </c>
      <c r="P1550" s="336"/>
      <c r="Q1550" s="430"/>
      <c r="R1550" s="428">
        <f t="shared" si="709"/>
        <v>3.5000000000000003E-2</v>
      </c>
      <c r="S1550" s="45">
        <f t="shared" ref="S1550:S1559" si="723">R1550*J1550</f>
        <v>0</v>
      </c>
      <c r="T1550" s="425">
        <f t="shared" ref="T1550:T1559" si="724">R1550*I1550</f>
        <v>0</v>
      </c>
      <c r="U1550" s="46"/>
      <c r="V1550" s="407">
        <f t="shared" ref="V1550:V1559" si="725">U1550/12</f>
        <v>0</v>
      </c>
      <c r="W1550" s="45">
        <f t="shared" ref="W1550:W1559" si="726">T1550*V1550</f>
        <v>0</v>
      </c>
      <c r="X1550" s="45"/>
      <c r="Y1550" s="45">
        <f t="shared" ref="Y1550:Y1559" si="727">I1550+W1550</f>
        <v>0</v>
      </c>
      <c r="Z1550" s="45" t="e">
        <f t="shared" ref="Z1550:Z1559" si="728">Y1550/U1550</f>
        <v>#DIV/0!</v>
      </c>
    </row>
    <row r="1551" spans="1:26" ht="15" hidden="1" outlineLevel="2">
      <c r="C1551" s="1464"/>
      <c r="D1551" s="1464"/>
      <c r="E1551" s="1466"/>
      <c r="F1551" s="1468"/>
      <c r="G1551" s="343"/>
      <c r="H1551" s="335" t="s">
        <v>28</v>
      </c>
      <c r="I1551" s="341"/>
      <c r="J1551" s="341"/>
      <c r="K1551" s="341" t="e">
        <f t="shared" si="721"/>
        <v>#DIV/0!</v>
      </c>
      <c r="L1551" s="341">
        <f t="shared" si="722"/>
        <v>0</v>
      </c>
      <c r="M1551" s="342"/>
      <c r="N1551" s="341"/>
      <c r="O1551" s="338">
        <f t="shared" si="701"/>
        <v>0</v>
      </c>
      <c r="P1551" s="341"/>
      <c r="Q1551" s="431"/>
      <c r="R1551" s="428">
        <f t="shared" si="709"/>
        <v>3.5000000000000003E-2</v>
      </c>
      <c r="S1551" s="45">
        <f t="shared" si="723"/>
        <v>0</v>
      </c>
      <c r="T1551" s="425">
        <f t="shared" si="724"/>
        <v>0</v>
      </c>
      <c r="U1551" s="46"/>
      <c r="V1551" s="407">
        <f t="shared" si="725"/>
        <v>0</v>
      </c>
      <c r="W1551" s="45">
        <f t="shared" si="726"/>
        <v>0</v>
      </c>
      <c r="X1551" s="45"/>
      <c r="Y1551" s="45">
        <f t="shared" si="727"/>
        <v>0</v>
      </c>
      <c r="Z1551" s="45" t="e">
        <f t="shared" si="728"/>
        <v>#DIV/0!</v>
      </c>
    </row>
    <row r="1552" spans="1:26" ht="15" hidden="1" outlineLevel="2">
      <c r="C1552" s="1464"/>
      <c r="D1552" s="1464"/>
      <c r="E1552" s="1466"/>
      <c r="F1552" s="1468"/>
      <c r="G1552" s="343"/>
      <c r="H1552" s="335" t="s">
        <v>28</v>
      </c>
      <c r="I1552" s="341"/>
      <c r="J1552" s="341"/>
      <c r="K1552" s="341" t="e">
        <f t="shared" si="721"/>
        <v>#DIV/0!</v>
      </c>
      <c r="L1552" s="341">
        <f t="shared" si="722"/>
        <v>0</v>
      </c>
      <c r="M1552" s="337"/>
      <c r="N1552" s="341"/>
      <c r="O1552" s="338">
        <f t="shared" si="701"/>
        <v>0</v>
      </c>
      <c r="P1552" s="341"/>
      <c r="Q1552" s="431"/>
      <c r="R1552" s="428">
        <f t="shared" si="709"/>
        <v>3.5000000000000003E-2</v>
      </c>
      <c r="S1552" s="45">
        <f t="shared" si="723"/>
        <v>0</v>
      </c>
      <c r="T1552" s="425">
        <f t="shared" si="724"/>
        <v>0</v>
      </c>
      <c r="U1552" s="46"/>
      <c r="V1552" s="407">
        <f t="shared" si="725"/>
        <v>0</v>
      </c>
      <c r="W1552" s="45">
        <f t="shared" si="726"/>
        <v>0</v>
      </c>
      <c r="X1552" s="45"/>
      <c r="Y1552" s="45">
        <f t="shared" si="727"/>
        <v>0</v>
      </c>
      <c r="Z1552" s="45" t="e">
        <f t="shared" si="728"/>
        <v>#DIV/0!</v>
      </c>
    </row>
    <row r="1553" spans="3:26" ht="15" hidden="1" outlineLevel="2">
      <c r="C1553" s="1464"/>
      <c r="D1553" s="1464"/>
      <c r="E1553" s="1466"/>
      <c r="F1553" s="1468"/>
      <c r="G1553" s="343"/>
      <c r="H1553" s="335" t="s">
        <v>28</v>
      </c>
      <c r="I1553" s="341"/>
      <c r="J1553" s="341"/>
      <c r="K1553" s="341" t="e">
        <f t="shared" si="721"/>
        <v>#DIV/0!</v>
      </c>
      <c r="L1553" s="341">
        <f t="shared" si="722"/>
        <v>0</v>
      </c>
      <c r="M1553" s="342"/>
      <c r="N1553" s="341"/>
      <c r="O1553" s="338">
        <f t="shared" si="701"/>
        <v>0</v>
      </c>
      <c r="P1553" s="341"/>
      <c r="Q1553" s="431"/>
      <c r="R1553" s="428">
        <f t="shared" si="709"/>
        <v>3.5000000000000003E-2</v>
      </c>
      <c r="S1553" s="45">
        <f t="shared" si="723"/>
        <v>0</v>
      </c>
      <c r="T1553" s="425">
        <f t="shared" si="724"/>
        <v>0</v>
      </c>
      <c r="U1553" s="46"/>
      <c r="V1553" s="407">
        <f t="shared" si="725"/>
        <v>0</v>
      </c>
      <c r="W1553" s="45">
        <f t="shared" si="726"/>
        <v>0</v>
      </c>
      <c r="X1553" s="45"/>
      <c r="Y1553" s="45">
        <f t="shared" si="727"/>
        <v>0</v>
      </c>
      <c r="Z1553" s="45" t="e">
        <f t="shared" si="728"/>
        <v>#DIV/0!</v>
      </c>
    </row>
    <row r="1554" spans="3:26" ht="15" hidden="1" outlineLevel="2">
      <c r="C1554" s="1464"/>
      <c r="D1554" s="1464"/>
      <c r="E1554" s="1466"/>
      <c r="F1554" s="1468"/>
      <c r="G1554" s="343"/>
      <c r="H1554" s="335" t="s">
        <v>28</v>
      </c>
      <c r="I1554" s="341"/>
      <c r="J1554" s="341"/>
      <c r="K1554" s="341" t="e">
        <f t="shared" si="721"/>
        <v>#DIV/0!</v>
      </c>
      <c r="L1554" s="341">
        <f t="shared" si="722"/>
        <v>0</v>
      </c>
      <c r="M1554" s="342"/>
      <c r="N1554" s="341"/>
      <c r="O1554" s="338">
        <f t="shared" si="701"/>
        <v>0</v>
      </c>
      <c r="P1554" s="341"/>
      <c r="Q1554" s="431"/>
      <c r="R1554" s="428">
        <f t="shared" si="709"/>
        <v>3.5000000000000003E-2</v>
      </c>
      <c r="S1554" s="45">
        <f t="shared" si="723"/>
        <v>0</v>
      </c>
      <c r="T1554" s="425">
        <f t="shared" si="724"/>
        <v>0</v>
      </c>
      <c r="U1554" s="46"/>
      <c r="V1554" s="407">
        <f t="shared" si="725"/>
        <v>0</v>
      </c>
      <c r="W1554" s="45">
        <f t="shared" si="726"/>
        <v>0</v>
      </c>
      <c r="X1554" s="45"/>
      <c r="Y1554" s="45">
        <f t="shared" si="727"/>
        <v>0</v>
      </c>
      <c r="Z1554" s="45" t="e">
        <f t="shared" si="728"/>
        <v>#DIV/0!</v>
      </c>
    </row>
    <row r="1555" spans="3:26" ht="15" hidden="1" outlineLevel="2">
      <c r="C1555" s="1464"/>
      <c r="D1555" s="1464"/>
      <c r="E1555" s="1466"/>
      <c r="F1555" s="1468"/>
      <c r="G1555" s="343"/>
      <c r="H1555" s="335" t="s">
        <v>28</v>
      </c>
      <c r="I1555" s="341"/>
      <c r="J1555" s="341"/>
      <c r="K1555" s="341" t="e">
        <f t="shared" si="721"/>
        <v>#DIV/0!</v>
      </c>
      <c r="L1555" s="341">
        <f t="shared" si="722"/>
        <v>0</v>
      </c>
      <c r="M1555" s="342"/>
      <c r="N1555" s="341"/>
      <c r="O1555" s="338">
        <f t="shared" si="701"/>
        <v>0</v>
      </c>
      <c r="P1555" s="341"/>
      <c r="Q1555" s="431"/>
      <c r="R1555" s="428">
        <f t="shared" si="709"/>
        <v>3.5000000000000003E-2</v>
      </c>
      <c r="S1555" s="45">
        <f t="shared" si="723"/>
        <v>0</v>
      </c>
      <c r="T1555" s="425">
        <f t="shared" si="724"/>
        <v>0</v>
      </c>
      <c r="U1555" s="46"/>
      <c r="V1555" s="407">
        <f t="shared" si="725"/>
        <v>0</v>
      </c>
      <c r="W1555" s="45">
        <f t="shared" si="726"/>
        <v>0</v>
      </c>
      <c r="X1555" s="45"/>
      <c r="Y1555" s="45">
        <f t="shared" si="727"/>
        <v>0</v>
      </c>
      <c r="Z1555" s="45" t="e">
        <f t="shared" si="728"/>
        <v>#DIV/0!</v>
      </c>
    </row>
    <row r="1556" spans="3:26" ht="15" hidden="1" outlineLevel="2">
      <c r="C1556" s="1464"/>
      <c r="D1556" s="1464"/>
      <c r="E1556" s="1466"/>
      <c r="F1556" s="1468"/>
      <c r="G1556" s="343"/>
      <c r="H1556" s="335" t="s">
        <v>28</v>
      </c>
      <c r="I1556" s="341"/>
      <c r="J1556" s="341"/>
      <c r="K1556" s="341" t="e">
        <f t="shared" si="721"/>
        <v>#DIV/0!</v>
      </c>
      <c r="L1556" s="341">
        <f t="shared" si="722"/>
        <v>0</v>
      </c>
      <c r="M1556" s="342"/>
      <c r="N1556" s="341"/>
      <c r="O1556" s="338">
        <f t="shared" si="701"/>
        <v>0</v>
      </c>
      <c r="P1556" s="341"/>
      <c r="Q1556" s="431"/>
      <c r="R1556" s="428">
        <f t="shared" si="709"/>
        <v>3.5000000000000003E-2</v>
      </c>
      <c r="S1556" s="45">
        <f t="shared" si="723"/>
        <v>0</v>
      </c>
      <c r="T1556" s="425">
        <f t="shared" si="724"/>
        <v>0</v>
      </c>
      <c r="U1556" s="46"/>
      <c r="V1556" s="407">
        <f t="shared" si="725"/>
        <v>0</v>
      </c>
      <c r="W1556" s="45">
        <f t="shared" si="726"/>
        <v>0</v>
      </c>
      <c r="X1556" s="45"/>
      <c r="Y1556" s="45">
        <f t="shared" si="727"/>
        <v>0</v>
      </c>
      <c r="Z1556" s="45" t="e">
        <f t="shared" si="728"/>
        <v>#DIV/0!</v>
      </c>
    </row>
    <row r="1557" spans="3:26" ht="15" hidden="1" outlineLevel="2">
      <c r="C1557" s="1464"/>
      <c r="D1557" s="1464"/>
      <c r="E1557" s="1466"/>
      <c r="F1557" s="1468"/>
      <c r="G1557" s="343"/>
      <c r="H1557" s="335" t="s">
        <v>28</v>
      </c>
      <c r="I1557" s="341"/>
      <c r="J1557" s="341"/>
      <c r="K1557" s="341" t="e">
        <f t="shared" si="721"/>
        <v>#DIV/0!</v>
      </c>
      <c r="L1557" s="341">
        <f t="shared" si="722"/>
        <v>0</v>
      </c>
      <c r="M1557" s="342"/>
      <c r="N1557" s="341"/>
      <c r="O1557" s="338">
        <f t="shared" si="701"/>
        <v>0</v>
      </c>
      <c r="P1557" s="341"/>
      <c r="Q1557" s="431"/>
      <c r="R1557" s="428">
        <f t="shared" si="709"/>
        <v>3.5000000000000003E-2</v>
      </c>
      <c r="S1557" s="45">
        <f t="shared" si="723"/>
        <v>0</v>
      </c>
      <c r="T1557" s="425">
        <f t="shared" si="724"/>
        <v>0</v>
      </c>
      <c r="U1557" s="46"/>
      <c r="V1557" s="407">
        <f t="shared" si="725"/>
        <v>0</v>
      </c>
      <c r="W1557" s="45">
        <f t="shared" si="726"/>
        <v>0</v>
      </c>
      <c r="X1557" s="45"/>
      <c r="Y1557" s="45">
        <f t="shared" si="727"/>
        <v>0</v>
      </c>
      <c r="Z1557" s="45" t="e">
        <f t="shared" si="728"/>
        <v>#DIV/0!</v>
      </c>
    </row>
    <row r="1558" spans="3:26" ht="15" hidden="1" outlineLevel="2">
      <c r="C1558" s="1464"/>
      <c r="D1558" s="1464"/>
      <c r="E1558" s="1466"/>
      <c r="F1558" s="1468"/>
      <c r="G1558" s="344"/>
      <c r="H1558" s="335" t="s">
        <v>28</v>
      </c>
      <c r="I1558" s="345"/>
      <c r="J1558" s="345"/>
      <c r="K1558" s="341" t="e">
        <f t="shared" si="721"/>
        <v>#DIV/0!</v>
      </c>
      <c r="L1558" s="341">
        <f t="shared" si="722"/>
        <v>0</v>
      </c>
      <c r="M1558" s="346"/>
      <c r="N1558" s="345"/>
      <c r="O1558" s="338">
        <f t="shared" si="701"/>
        <v>0</v>
      </c>
      <c r="P1558" s="345"/>
      <c r="Q1558" s="432"/>
      <c r="R1558" s="428">
        <f t="shared" si="709"/>
        <v>3.5000000000000003E-2</v>
      </c>
      <c r="S1558" s="45">
        <f t="shared" si="723"/>
        <v>0</v>
      </c>
      <c r="T1558" s="425">
        <f t="shared" si="724"/>
        <v>0</v>
      </c>
      <c r="U1558" s="46"/>
      <c r="V1558" s="407">
        <f t="shared" si="725"/>
        <v>0</v>
      </c>
      <c r="W1558" s="45">
        <f t="shared" si="726"/>
        <v>0</v>
      </c>
      <c r="X1558" s="45"/>
      <c r="Y1558" s="45">
        <f t="shared" si="727"/>
        <v>0</v>
      </c>
      <c r="Z1558" s="45" t="e">
        <f t="shared" si="728"/>
        <v>#DIV/0!</v>
      </c>
    </row>
    <row r="1559" spans="3:26" ht="15" hidden="1" outlineLevel="2">
      <c r="C1559" s="1464"/>
      <c r="D1559" s="1464"/>
      <c r="E1559" s="1466"/>
      <c r="F1559" s="1468"/>
      <c r="G1559" s="343"/>
      <c r="H1559" s="335" t="s">
        <v>28</v>
      </c>
      <c r="I1559" s="341"/>
      <c r="J1559" s="341"/>
      <c r="K1559" s="341" t="e">
        <f t="shared" si="721"/>
        <v>#DIV/0!</v>
      </c>
      <c r="L1559" s="341">
        <f t="shared" si="722"/>
        <v>0</v>
      </c>
      <c r="M1559" s="342"/>
      <c r="N1559" s="341"/>
      <c r="O1559" s="338">
        <f t="shared" si="701"/>
        <v>0</v>
      </c>
      <c r="P1559" s="341"/>
      <c r="Q1559" s="431"/>
      <c r="R1559" s="428">
        <f t="shared" si="709"/>
        <v>3.5000000000000003E-2</v>
      </c>
      <c r="S1559" s="45">
        <f t="shared" si="723"/>
        <v>0</v>
      </c>
      <c r="T1559" s="425">
        <f t="shared" si="724"/>
        <v>0</v>
      </c>
      <c r="U1559" s="46"/>
      <c r="V1559" s="407">
        <f t="shared" si="725"/>
        <v>0</v>
      </c>
      <c r="W1559" s="45">
        <f t="shared" si="726"/>
        <v>0</v>
      </c>
      <c r="X1559" s="45"/>
      <c r="Y1559" s="45">
        <f t="shared" si="727"/>
        <v>0</v>
      </c>
      <c r="Z1559" s="45" t="e">
        <f t="shared" si="728"/>
        <v>#DIV/0!</v>
      </c>
    </row>
    <row r="1560" spans="3:26" ht="15" hidden="1" outlineLevel="2">
      <c r="C1560" s="1464"/>
      <c r="D1560" s="1464"/>
      <c r="E1560" s="1466"/>
      <c r="F1560" s="1468"/>
      <c r="G1560" s="1470" t="s">
        <v>51</v>
      </c>
      <c r="H1560" s="1471"/>
      <c r="I1560" s="347">
        <f>SUM(I1550:I1559)</f>
        <v>0</v>
      </c>
      <c r="J1560" s="347">
        <f t="shared" ref="J1560" si="729">SUM(J1550:J1559)</f>
        <v>0</v>
      </c>
      <c r="K1560" s="347">
        <f>SUMIFS(K1550:K1559,K1550:K1559,"&lt;&gt;",K1550:K1559,"&lt;"&amp;99^99)</f>
        <v>0</v>
      </c>
      <c r="L1560" s="347">
        <f>SUMIFS(L1550:L1559,L1550:L1559,"&lt;&gt;",L1550:L1559,"&lt;"&amp;99^99)</f>
        <v>0</v>
      </c>
      <c r="M1560" s="348"/>
      <c r="N1560" s="347">
        <f>N1550</f>
        <v>0</v>
      </c>
      <c r="O1560" s="349">
        <f t="shared" si="701"/>
        <v>0</v>
      </c>
      <c r="P1560" s="347">
        <f t="shared" ref="P1560:Q1560" si="730">SUM(P1550:P1559)</f>
        <v>0</v>
      </c>
      <c r="Q1560" s="433">
        <f t="shared" si="730"/>
        <v>0</v>
      </c>
      <c r="R1560" s="55" t="str">
        <f t="shared" si="709"/>
        <v/>
      </c>
      <c r="S1560" s="408">
        <f>SUM(S1550:S1559)</f>
        <v>0</v>
      </c>
      <c r="T1560" s="426">
        <f t="shared" ref="T1560" si="731">SUM(T1550:T1559)</f>
        <v>0</v>
      </c>
      <c r="U1560" s="408"/>
      <c r="V1560" s="408"/>
      <c r="W1560" s="408">
        <f t="shared" ref="W1560" si="732">SUM(W1550:W1559)</f>
        <v>0</v>
      </c>
      <c r="X1560" s="408"/>
      <c r="Y1560" s="408">
        <f t="shared" ref="Y1560" si="733">SUM(Y1550:Y1559)</f>
        <v>0</v>
      </c>
      <c r="Z1560" s="408">
        <f>SUMIFS(Z1550:Z1559,Y1550:Y1559,"&lt;&gt;",Z1550:Z1559,"&lt;"&amp;99^99)</f>
        <v>0</v>
      </c>
    </row>
    <row r="1561" spans="3:26" ht="15" hidden="1" outlineLevel="2">
      <c r="C1561" s="1464"/>
      <c r="D1561" s="1464"/>
      <c r="E1561" s="1466"/>
      <c r="F1561" s="1468"/>
      <c r="G1561" s="351"/>
      <c r="H1561" s="335" t="s">
        <v>22</v>
      </c>
      <c r="I1561" s="336"/>
      <c r="J1561" s="336"/>
      <c r="K1561" s="341" t="e">
        <f t="shared" ref="K1561:K1570" si="734">Z1561</f>
        <v>#DIV/0!</v>
      </c>
      <c r="L1561" s="341">
        <f t="shared" ref="L1561:L1570" si="735">AA1561</f>
        <v>0</v>
      </c>
      <c r="M1561" s="352"/>
      <c r="N1561" s="336"/>
      <c r="O1561" s="338">
        <f t="shared" si="701"/>
        <v>0</v>
      </c>
      <c r="P1561" s="336"/>
      <c r="Q1561" s="430"/>
      <c r="R1561" s="428">
        <f t="shared" si="709"/>
        <v>3.5000000000000003E-2</v>
      </c>
      <c r="S1561" s="45">
        <f t="shared" ref="S1561:S1570" si="736">R1561*J1561</f>
        <v>0</v>
      </c>
      <c r="T1561" s="425">
        <f t="shared" ref="T1561:T1570" si="737">R1561*I1561</f>
        <v>0</v>
      </c>
      <c r="U1561" s="46">
        <v>0</v>
      </c>
      <c r="V1561" s="407">
        <f>U1561/12</f>
        <v>0</v>
      </c>
      <c r="W1561" s="45">
        <f>T1561*V1561</f>
        <v>0</v>
      </c>
      <c r="X1561" s="45"/>
      <c r="Y1561" s="45">
        <f t="shared" ref="Y1561:Y1570" si="738">I1561+W1561</f>
        <v>0</v>
      </c>
      <c r="Z1561" s="45" t="e">
        <f t="shared" ref="Z1561:Z1570" si="739">Y1561/U1561</f>
        <v>#DIV/0!</v>
      </c>
    </row>
    <row r="1562" spans="3:26" ht="15" hidden="1" outlineLevel="2">
      <c r="C1562" s="1464"/>
      <c r="D1562" s="1464"/>
      <c r="E1562" s="1466"/>
      <c r="F1562" s="1468"/>
      <c r="G1562" s="343"/>
      <c r="H1562" s="335" t="s">
        <v>22</v>
      </c>
      <c r="I1562" s="341"/>
      <c r="J1562" s="341"/>
      <c r="K1562" s="341" t="e">
        <f t="shared" si="734"/>
        <v>#DIV/0!</v>
      </c>
      <c r="L1562" s="341">
        <f t="shared" si="735"/>
        <v>0</v>
      </c>
      <c r="M1562" s="342"/>
      <c r="N1562" s="341"/>
      <c r="O1562" s="338">
        <f t="shared" si="701"/>
        <v>0</v>
      </c>
      <c r="P1562" s="341"/>
      <c r="Q1562" s="431"/>
      <c r="R1562" s="428">
        <f t="shared" si="709"/>
        <v>3.5000000000000003E-2</v>
      </c>
      <c r="S1562" s="45">
        <f t="shared" si="736"/>
        <v>0</v>
      </c>
      <c r="T1562" s="425">
        <f t="shared" si="737"/>
        <v>0</v>
      </c>
      <c r="U1562" s="46"/>
      <c r="V1562" s="407">
        <f t="shared" ref="V1562:V1570" si="740">U1562/12</f>
        <v>0</v>
      </c>
      <c r="W1562" s="45">
        <f t="shared" ref="W1562:W1570" si="741">T1562*V1562</f>
        <v>0</v>
      </c>
      <c r="X1562" s="45"/>
      <c r="Y1562" s="45">
        <f t="shared" si="738"/>
        <v>0</v>
      </c>
      <c r="Z1562" s="45" t="e">
        <f t="shared" si="739"/>
        <v>#DIV/0!</v>
      </c>
    </row>
    <row r="1563" spans="3:26" ht="15" hidden="1" outlineLevel="2">
      <c r="C1563" s="1464"/>
      <c r="D1563" s="1464"/>
      <c r="E1563" s="1466"/>
      <c r="F1563" s="1468"/>
      <c r="G1563" s="343"/>
      <c r="H1563" s="335" t="s">
        <v>22</v>
      </c>
      <c r="I1563" s="341"/>
      <c r="J1563" s="341"/>
      <c r="K1563" s="341" t="e">
        <f t="shared" si="734"/>
        <v>#DIV/0!</v>
      </c>
      <c r="L1563" s="341">
        <f t="shared" si="735"/>
        <v>0</v>
      </c>
      <c r="M1563" s="337"/>
      <c r="N1563" s="341"/>
      <c r="O1563" s="338">
        <f t="shared" si="701"/>
        <v>0</v>
      </c>
      <c r="P1563" s="341"/>
      <c r="Q1563" s="431"/>
      <c r="R1563" s="428">
        <f t="shared" si="709"/>
        <v>3.5000000000000003E-2</v>
      </c>
      <c r="S1563" s="45">
        <f t="shared" si="736"/>
        <v>0</v>
      </c>
      <c r="T1563" s="425">
        <f t="shared" si="737"/>
        <v>0</v>
      </c>
      <c r="U1563" s="46"/>
      <c r="V1563" s="407">
        <f t="shared" si="740"/>
        <v>0</v>
      </c>
      <c r="W1563" s="45">
        <f t="shared" si="741"/>
        <v>0</v>
      </c>
      <c r="X1563" s="45"/>
      <c r="Y1563" s="45">
        <f t="shared" si="738"/>
        <v>0</v>
      </c>
      <c r="Z1563" s="45" t="e">
        <f t="shared" si="739"/>
        <v>#DIV/0!</v>
      </c>
    </row>
    <row r="1564" spans="3:26" ht="15" hidden="1" outlineLevel="2">
      <c r="C1564" s="1464"/>
      <c r="D1564" s="1464"/>
      <c r="E1564" s="1466"/>
      <c r="F1564" s="1468"/>
      <c r="G1564" s="343"/>
      <c r="H1564" s="335" t="s">
        <v>22</v>
      </c>
      <c r="I1564" s="341"/>
      <c r="J1564" s="341"/>
      <c r="K1564" s="341" t="e">
        <f t="shared" si="734"/>
        <v>#DIV/0!</v>
      </c>
      <c r="L1564" s="341">
        <f t="shared" si="735"/>
        <v>0</v>
      </c>
      <c r="M1564" s="342"/>
      <c r="N1564" s="341"/>
      <c r="O1564" s="338">
        <f t="shared" si="701"/>
        <v>0</v>
      </c>
      <c r="P1564" s="341"/>
      <c r="Q1564" s="431"/>
      <c r="R1564" s="428">
        <f t="shared" si="709"/>
        <v>3.5000000000000003E-2</v>
      </c>
      <c r="S1564" s="45">
        <f t="shared" si="736"/>
        <v>0</v>
      </c>
      <c r="T1564" s="425">
        <f t="shared" si="737"/>
        <v>0</v>
      </c>
      <c r="U1564" s="46"/>
      <c r="V1564" s="407">
        <f t="shared" si="740"/>
        <v>0</v>
      </c>
      <c r="W1564" s="45">
        <f t="shared" si="741"/>
        <v>0</v>
      </c>
      <c r="X1564" s="45"/>
      <c r="Y1564" s="45">
        <f t="shared" si="738"/>
        <v>0</v>
      </c>
      <c r="Z1564" s="45" t="e">
        <f t="shared" si="739"/>
        <v>#DIV/0!</v>
      </c>
    </row>
    <row r="1565" spans="3:26" ht="15" hidden="1" outlineLevel="2">
      <c r="C1565" s="1464"/>
      <c r="D1565" s="1464"/>
      <c r="E1565" s="1466"/>
      <c r="F1565" s="1468"/>
      <c r="G1565" s="343"/>
      <c r="H1565" s="335" t="s">
        <v>22</v>
      </c>
      <c r="I1565" s="341"/>
      <c r="J1565" s="341"/>
      <c r="K1565" s="341" t="e">
        <f t="shared" si="734"/>
        <v>#DIV/0!</v>
      </c>
      <c r="L1565" s="341">
        <f t="shared" si="735"/>
        <v>0</v>
      </c>
      <c r="M1565" s="342"/>
      <c r="N1565" s="341"/>
      <c r="O1565" s="338">
        <f t="shared" si="701"/>
        <v>0</v>
      </c>
      <c r="P1565" s="341"/>
      <c r="Q1565" s="431"/>
      <c r="R1565" s="428">
        <f t="shared" si="709"/>
        <v>3.5000000000000003E-2</v>
      </c>
      <c r="S1565" s="45">
        <f t="shared" si="736"/>
        <v>0</v>
      </c>
      <c r="T1565" s="425">
        <f t="shared" si="737"/>
        <v>0</v>
      </c>
      <c r="U1565" s="46"/>
      <c r="V1565" s="407">
        <f t="shared" si="740"/>
        <v>0</v>
      </c>
      <c r="W1565" s="45">
        <f t="shared" si="741"/>
        <v>0</v>
      </c>
      <c r="X1565" s="45"/>
      <c r="Y1565" s="45">
        <f t="shared" si="738"/>
        <v>0</v>
      </c>
      <c r="Z1565" s="45" t="e">
        <f t="shared" si="739"/>
        <v>#DIV/0!</v>
      </c>
    </row>
    <row r="1566" spans="3:26" ht="15" hidden="1" outlineLevel="2">
      <c r="C1566" s="1464"/>
      <c r="D1566" s="1464"/>
      <c r="E1566" s="1466"/>
      <c r="F1566" s="1468"/>
      <c r="G1566" s="343"/>
      <c r="H1566" s="335" t="s">
        <v>22</v>
      </c>
      <c r="I1566" s="341"/>
      <c r="J1566" s="341"/>
      <c r="K1566" s="341" t="e">
        <f t="shared" si="734"/>
        <v>#DIV/0!</v>
      </c>
      <c r="L1566" s="341">
        <f t="shared" si="735"/>
        <v>0</v>
      </c>
      <c r="M1566" s="342"/>
      <c r="N1566" s="341"/>
      <c r="O1566" s="338">
        <f t="shared" si="701"/>
        <v>0</v>
      </c>
      <c r="P1566" s="341"/>
      <c r="Q1566" s="431"/>
      <c r="R1566" s="428">
        <f t="shared" si="709"/>
        <v>3.5000000000000003E-2</v>
      </c>
      <c r="S1566" s="45">
        <f t="shared" si="736"/>
        <v>0</v>
      </c>
      <c r="T1566" s="425">
        <f t="shared" si="737"/>
        <v>0</v>
      </c>
      <c r="U1566" s="46"/>
      <c r="V1566" s="407">
        <f t="shared" si="740"/>
        <v>0</v>
      </c>
      <c r="W1566" s="45">
        <f t="shared" si="741"/>
        <v>0</v>
      </c>
      <c r="X1566" s="45"/>
      <c r="Y1566" s="45">
        <f t="shared" si="738"/>
        <v>0</v>
      </c>
      <c r="Z1566" s="45" t="e">
        <f t="shared" si="739"/>
        <v>#DIV/0!</v>
      </c>
    </row>
    <row r="1567" spans="3:26" ht="15" hidden="1" outlineLevel="2">
      <c r="C1567" s="1464"/>
      <c r="D1567" s="1464"/>
      <c r="E1567" s="1466"/>
      <c r="F1567" s="1468"/>
      <c r="G1567" s="343"/>
      <c r="H1567" s="335" t="s">
        <v>22</v>
      </c>
      <c r="I1567" s="341"/>
      <c r="J1567" s="341"/>
      <c r="K1567" s="341" t="e">
        <f t="shared" si="734"/>
        <v>#DIV/0!</v>
      </c>
      <c r="L1567" s="341">
        <f t="shared" si="735"/>
        <v>0</v>
      </c>
      <c r="M1567" s="342"/>
      <c r="N1567" s="341"/>
      <c r="O1567" s="338">
        <f t="shared" si="701"/>
        <v>0</v>
      </c>
      <c r="P1567" s="341"/>
      <c r="Q1567" s="431"/>
      <c r="R1567" s="428">
        <f t="shared" si="709"/>
        <v>3.5000000000000003E-2</v>
      </c>
      <c r="S1567" s="45">
        <f t="shared" si="736"/>
        <v>0</v>
      </c>
      <c r="T1567" s="425">
        <f t="shared" si="737"/>
        <v>0</v>
      </c>
      <c r="U1567" s="46"/>
      <c r="V1567" s="407">
        <f t="shared" si="740"/>
        <v>0</v>
      </c>
      <c r="W1567" s="45">
        <f t="shared" si="741"/>
        <v>0</v>
      </c>
      <c r="X1567" s="45"/>
      <c r="Y1567" s="45">
        <f t="shared" si="738"/>
        <v>0</v>
      </c>
      <c r="Z1567" s="45" t="e">
        <f t="shared" si="739"/>
        <v>#DIV/0!</v>
      </c>
    </row>
    <row r="1568" spans="3:26" ht="15" hidden="1" outlineLevel="2">
      <c r="C1568" s="1464"/>
      <c r="D1568" s="1464"/>
      <c r="E1568" s="1466"/>
      <c r="F1568" s="1468"/>
      <c r="G1568" s="343"/>
      <c r="H1568" s="335" t="s">
        <v>22</v>
      </c>
      <c r="I1568" s="341"/>
      <c r="J1568" s="341"/>
      <c r="K1568" s="341" t="e">
        <f t="shared" si="734"/>
        <v>#DIV/0!</v>
      </c>
      <c r="L1568" s="341">
        <f t="shared" si="735"/>
        <v>0</v>
      </c>
      <c r="M1568" s="342"/>
      <c r="N1568" s="341"/>
      <c r="O1568" s="338">
        <f t="shared" si="701"/>
        <v>0</v>
      </c>
      <c r="P1568" s="341"/>
      <c r="Q1568" s="431"/>
      <c r="R1568" s="428">
        <f t="shared" si="709"/>
        <v>3.5000000000000003E-2</v>
      </c>
      <c r="S1568" s="45">
        <f t="shared" si="736"/>
        <v>0</v>
      </c>
      <c r="T1568" s="425">
        <f t="shared" si="737"/>
        <v>0</v>
      </c>
      <c r="U1568" s="46"/>
      <c r="V1568" s="407">
        <f t="shared" si="740"/>
        <v>0</v>
      </c>
      <c r="W1568" s="45">
        <f t="shared" si="741"/>
        <v>0</v>
      </c>
      <c r="X1568" s="45"/>
      <c r="Y1568" s="45">
        <f t="shared" si="738"/>
        <v>0</v>
      </c>
      <c r="Z1568" s="45" t="e">
        <f t="shared" si="739"/>
        <v>#DIV/0!</v>
      </c>
    </row>
    <row r="1569" spans="3:26" ht="15" hidden="1" outlineLevel="2">
      <c r="C1569" s="1464"/>
      <c r="D1569" s="1464"/>
      <c r="E1569" s="1466"/>
      <c r="F1569" s="1468"/>
      <c r="G1569" s="344"/>
      <c r="H1569" s="335" t="s">
        <v>22</v>
      </c>
      <c r="I1569" s="345"/>
      <c r="J1569" s="345"/>
      <c r="K1569" s="341" t="e">
        <f t="shared" si="734"/>
        <v>#DIV/0!</v>
      </c>
      <c r="L1569" s="341">
        <f t="shared" si="735"/>
        <v>0</v>
      </c>
      <c r="M1569" s="346"/>
      <c r="N1569" s="345"/>
      <c r="O1569" s="338">
        <f t="shared" si="701"/>
        <v>0</v>
      </c>
      <c r="P1569" s="345"/>
      <c r="Q1569" s="432"/>
      <c r="R1569" s="428">
        <f t="shared" si="709"/>
        <v>3.5000000000000003E-2</v>
      </c>
      <c r="S1569" s="45">
        <f t="shared" si="736"/>
        <v>0</v>
      </c>
      <c r="T1569" s="425">
        <f t="shared" si="737"/>
        <v>0</v>
      </c>
      <c r="U1569" s="46"/>
      <c r="V1569" s="407">
        <f t="shared" si="740"/>
        <v>0</v>
      </c>
      <c r="W1569" s="45">
        <f t="shared" si="741"/>
        <v>0</v>
      </c>
      <c r="X1569" s="45"/>
      <c r="Y1569" s="45">
        <f t="shared" si="738"/>
        <v>0</v>
      </c>
      <c r="Z1569" s="45" t="e">
        <f t="shared" si="739"/>
        <v>#DIV/0!</v>
      </c>
    </row>
    <row r="1570" spans="3:26" ht="15" hidden="1" outlineLevel="2">
      <c r="C1570" s="1464"/>
      <c r="D1570" s="1464"/>
      <c r="E1570" s="1466"/>
      <c r="F1570" s="1468"/>
      <c r="G1570" s="343"/>
      <c r="H1570" s="335" t="s">
        <v>22</v>
      </c>
      <c r="I1570" s="341"/>
      <c r="J1570" s="341"/>
      <c r="K1570" s="341" t="e">
        <f t="shared" si="734"/>
        <v>#DIV/0!</v>
      </c>
      <c r="L1570" s="341">
        <f t="shared" si="735"/>
        <v>0</v>
      </c>
      <c r="M1570" s="342"/>
      <c r="N1570" s="341"/>
      <c r="O1570" s="338">
        <f t="shared" si="701"/>
        <v>0</v>
      </c>
      <c r="P1570" s="341"/>
      <c r="Q1570" s="431"/>
      <c r="R1570" s="428">
        <f t="shared" si="709"/>
        <v>3.5000000000000003E-2</v>
      </c>
      <c r="S1570" s="45">
        <f t="shared" si="736"/>
        <v>0</v>
      </c>
      <c r="T1570" s="425">
        <f t="shared" si="737"/>
        <v>0</v>
      </c>
      <c r="U1570" s="46"/>
      <c r="V1570" s="407">
        <f t="shared" si="740"/>
        <v>0</v>
      </c>
      <c r="W1570" s="45">
        <f t="shared" si="741"/>
        <v>0</v>
      </c>
      <c r="X1570" s="45"/>
      <c r="Y1570" s="45">
        <f t="shared" si="738"/>
        <v>0</v>
      </c>
      <c r="Z1570" s="45" t="e">
        <f t="shared" si="739"/>
        <v>#DIV/0!</v>
      </c>
    </row>
    <row r="1571" spans="3:26" ht="15" hidden="1" outlineLevel="2">
      <c r="C1571" s="1464"/>
      <c r="D1571" s="1464"/>
      <c r="E1571" s="1466"/>
      <c r="F1571" s="1468"/>
      <c r="G1571" s="1470" t="s">
        <v>44</v>
      </c>
      <c r="H1571" s="1471"/>
      <c r="I1571" s="347">
        <f>SUM(I1561:I1570)</f>
        <v>0</v>
      </c>
      <c r="J1571" s="347">
        <f t="shared" ref="J1571" si="742">SUM(J1561:J1570)</f>
        <v>0</v>
      </c>
      <c r="K1571" s="347">
        <f>SUMIFS(K1561:K1570,K1561:K1570,"&lt;&gt;",K1561:K1570,"&lt;"&amp;99^99)</f>
        <v>0</v>
      </c>
      <c r="L1571" s="347">
        <f>SUMIFS(L1561:L1570,L1561:L1570,"&lt;&gt;",L1561:L1570,"&lt;"&amp;99^99)</f>
        <v>0</v>
      </c>
      <c r="M1571" s="348"/>
      <c r="N1571" s="347">
        <f>N1561</f>
        <v>0</v>
      </c>
      <c r="O1571" s="349">
        <f t="shared" si="701"/>
        <v>0</v>
      </c>
      <c r="P1571" s="347">
        <f t="shared" ref="P1571:Q1571" si="743">SUM(P1561:P1570)</f>
        <v>0</v>
      </c>
      <c r="Q1571" s="433">
        <f t="shared" si="743"/>
        <v>0</v>
      </c>
      <c r="R1571" s="55" t="str">
        <f t="shared" si="709"/>
        <v/>
      </c>
      <c r="S1571" s="408">
        <f>SUM(S1561:S1570)</f>
        <v>0</v>
      </c>
      <c r="T1571" s="426">
        <f t="shared" ref="T1571" si="744">SUM(T1561:T1570)</f>
        <v>0</v>
      </c>
      <c r="U1571" s="408"/>
      <c r="V1571" s="408"/>
      <c r="W1571" s="408">
        <f t="shared" ref="W1571" si="745">SUM(W1561:W1570)</f>
        <v>0</v>
      </c>
      <c r="X1571" s="408"/>
      <c r="Y1571" s="408">
        <f t="shared" ref="Y1571" si="746">SUM(Y1561:Y1570)</f>
        <v>0</v>
      </c>
      <c r="Z1571" s="408">
        <f>SUMIFS(Z1561:Z1570,Y1561:Y1570,"&lt;&gt;",Z1561:Z1570,"&lt;"&amp;99^99)</f>
        <v>0</v>
      </c>
    </row>
    <row r="1572" spans="3:26" ht="15.75" hidden="1" outlineLevel="1" collapsed="1" thickTop="1">
      <c r="C1572" s="1464"/>
      <c r="D1572" s="1464"/>
      <c r="E1572" s="1466"/>
      <c r="F1572" s="1469"/>
      <c r="G1572" s="1470" t="s">
        <v>177</v>
      </c>
      <c r="H1572" s="1471"/>
      <c r="I1572" s="347">
        <f>(I1549/usdrate)+(I1560*jodrate)+I1571</f>
        <v>0</v>
      </c>
      <c r="J1572" s="347">
        <f>(J1549/usdrate)+(J1560*jodrate)+J1571</f>
        <v>0</v>
      </c>
      <c r="K1572" s="347">
        <f>(K1549/usdrate)+(K1560*jodrate)+K1571</f>
        <v>0</v>
      </c>
      <c r="L1572" s="347">
        <f>(L1549/usdrate)+(L1560*jodrate)+L1571</f>
        <v>0</v>
      </c>
      <c r="M1572" s="348"/>
      <c r="N1572" s="347">
        <f>(N1549/usdrate)+(N1560*jodrate)+N1571</f>
        <v>0</v>
      </c>
      <c r="O1572" s="349">
        <f t="shared" si="701"/>
        <v>0</v>
      </c>
      <c r="P1572" s="347">
        <f>(P1549/usdrate)+(P1560*jodrate)+P1571</f>
        <v>0</v>
      </c>
      <c r="Q1572" s="433">
        <f>(Q1549/usdrate)+(Q1560*jodrate)+Q1571</f>
        <v>0</v>
      </c>
      <c r="R1572" s="429"/>
      <c r="S1572" s="408">
        <f t="shared" ref="S1572:W1572" si="747">(S1549/usdrate)+(S1560*jodrate)+S1571</f>
        <v>0</v>
      </c>
      <c r="T1572" s="426">
        <f t="shared" si="747"/>
        <v>0</v>
      </c>
      <c r="U1572" s="408">
        <f t="shared" si="747"/>
        <v>0</v>
      </c>
      <c r="V1572" s="408">
        <f t="shared" si="747"/>
        <v>0</v>
      </c>
      <c r="W1572" s="408">
        <f t="shared" si="747"/>
        <v>0</v>
      </c>
      <c r="X1572" s="408"/>
      <c r="Y1572" s="408">
        <f t="shared" ref="Y1572:Z1572" si="748">(Y1549/usdrate)+(Y1560*jodrate)+Y1571</f>
        <v>0</v>
      </c>
      <c r="Z1572" s="408">
        <f t="shared" si="748"/>
        <v>0</v>
      </c>
    </row>
    <row r="1573" spans="3:26" ht="15" hidden="1" outlineLevel="2">
      <c r="C1573" s="1464"/>
      <c r="D1573" s="1464"/>
      <c r="E1573" s="1466"/>
      <c r="F1573" s="1472" t="s">
        <v>170</v>
      </c>
      <c r="G1573" s="350"/>
      <c r="H1573" s="335" t="s">
        <v>4</v>
      </c>
      <c r="I1573" s="336"/>
      <c r="J1573" s="336"/>
      <c r="K1573" s="341">
        <f t="shared" ref="K1573:K1582" si="749">I1573*R1573/12</f>
        <v>0</v>
      </c>
      <c r="L1573" s="341">
        <f t="shared" ref="L1573:L1582" si="750">J1573*S1573/12</f>
        <v>0</v>
      </c>
      <c r="M1573" s="337"/>
      <c r="N1573" s="336"/>
      <c r="O1573" s="338">
        <f t="shared" si="701"/>
        <v>0</v>
      </c>
      <c r="P1573" s="336"/>
      <c r="Q1573" s="430"/>
      <c r="R1573" s="28">
        <f t="shared" ref="R1573:R1605" si="751">IF(H1573="USD",$B$4,IF(H1573="ILS",$B$2,IF(H1573="JOD",$B$3,"")))</f>
        <v>0.05</v>
      </c>
      <c r="S1573" s="14"/>
      <c r="T1573" s="423">
        <f t="shared" ref="T1573:T1582" si="752">I1573*R1573</f>
        <v>0</v>
      </c>
      <c r="U1573" s="14"/>
      <c r="V1573" s="14">
        <v>1</v>
      </c>
      <c r="W1573" s="14">
        <f>T1573*V1573</f>
        <v>0</v>
      </c>
      <c r="X1573" s="35">
        <f t="shared" ref="X1573:X1582" si="753">W1573/usdrate</f>
        <v>0</v>
      </c>
      <c r="Y1573" s="14"/>
      <c r="Z1573" s="14"/>
    </row>
    <row r="1574" spans="3:26" ht="15" hidden="1" outlineLevel="2">
      <c r="C1574" s="1464"/>
      <c r="D1574" s="1464"/>
      <c r="E1574" s="1466"/>
      <c r="F1574" s="1468"/>
      <c r="G1574" s="343"/>
      <c r="H1574" s="335" t="s">
        <v>4</v>
      </c>
      <c r="I1574" s="341"/>
      <c r="J1574" s="341"/>
      <c r="K1574" s="341">
        <f t="shared" si="749"/>
        <v>0</v>
      </c>
      <c r="L1574" s="341">
        <f t="shared" si="750"/>
        <v>0</v>
      </c>
      <c r="M1574" s="342"/>
      <c r="N1574" s="341">
        <v>0</v>
      </c>
      <c r="O1574" s="338">
        <f t="shared" si="701"/>
        <v>0</v>
      </c>
      <c r="P1574" s="341"/>
      <c r="Q1574" s="431"/>
      <c r="R1574" s="28">
        <f t="shared" si="751"/>
        <v>0.05</v>
      </c>
      <c r="S1574" s="14"/>
      <c r="T1574" s="423">
        <f t="shared" si="752"/>
        <v>0</v>
      </c>
      <c r="U1574" s="14"/>
      <c r="V1574" s="14">
        <v>1</v>
      </c>
      <c r="W1574" s="14">
        <f t="shared" ref="W1574:W1582" si="754">T1574*V1574</f>
        <v>0</v>
      </c>
      <c r="X1574" s="35">
        <f t="shared" si="753"/>
        <v>0</v>
      </c>
      <c r="Y1574" s="14"/>
      <c r="Z1574" s="14"/>
    </row>
    <row r="1575" spans="3:26" ht="15" hidden="1" outlineLevel="2">
      <c r="C1575" s="1464"/>
      <c r="D1575" s="1464"/>
      <c r="E1575" s="1466"/>
      <c r="F1575" s="1468"/>
      <c r="G1575" s="343"/>
      <c r="H1575" s="335" t="s">
        <v>4</v>
      </c>
      <c r="I1575" s="341"/>
      <c r="J1575" s="341"/>
      <c r="K1575" s="341">
        <f t="shared" si="749"/>
        <v>0</v>
      </c>
      <c r="L1575" s="341">
        <f t="shared" si="750"/>
        <v>0</v>
      </c>
      <c r="M1575" s="337"/>
      <c r="N1575" s="341"/>
      <c r="O1575" s="338">
        <f t="shared" si="701"/>
        <v>0</v>
      </c>
      <c r="P1575" s="341"/>
      <c r="Q1575" s="431"/>
      <c r="R1575" s="28">
        <f t="shared" si="751"/>
        <v>0.05</v>
      </c>
      <c r="S1575" s="14"/>
      <c r="T1575" s="423">
        <f t="shared" si="752"/>
        <v>0</v>
      </c>
      <c r="U1575" s="14"/>
      <c r="V1575" s="14">
        <v>1</v>
      </c>
      <c r="W1575" s="14">
        <f t="shared" si="754"/>
        <v>0</v>
      </c>
      <c r="X1575" s="35">
        <f t="shared" si="753"/>
        <v>0</v>
      </c>
      <c r="Y1575" s="14"/>
      <c r="Z1575" s="14"/>
    </row>
    <row r="1576" spans="3:26" ht="15" hidden="1" outlineLevel="2">
      <c r="C1576" s="1464"/>
      <c r="D1576" s="1464"/>
      <c r="E1576" s="1466"/>
      <c r="F1576" s="1468"/>
      <c r="G1576" s="343"/>
      <c r="H1576" s="335" t="s">
        <v>4</v>
      </c>
      <c r="I1576" s="341"/>
      <c r="J1576" s="341"/>
      <c r="K1576" s="341">
        <f t="shared" si="749"/>
        <v>0</v>
      </c>
      <c r="L1576" s="341">
        <f t="shared" si="750"/>
        <v>0</v>
      </c>
      <c r="M1576" s="342"/>
      <c r="N1576" s="341"/>
      <c r="O1576" s="338">
        <f t="shared" si="701"/>
        <v>0</v>
      </c>
      <c r="P1576" s="341"/>
      <c r="Q1576" s="431"/>
      <c r="R1576" s="28">
        <f t="shared" si="751"/>
        <v>0.05</v>
      </c>
      <c r="S1576" s="14"/>
      <c r="T1576" s="423">
        <f t="shared" si="752"/>
        <v>0</v>
      </c>
      <c r="U1576" s="14"/>
      <c r="V1576" s="14">
        <v>1</v>
      </c>
      <c r="W1576" s="14">
        <f t="shared" si="754"/>
        <v>0</v>
      </c>
      <c r="X1576" s="35">
        <f t="shared" si="753"/>
        <v>0</v>
      </c>
      <c r="Y1576" s="14"/>
      <c r="Z1576" s="14"/>
    </row>
    <row r="1577" spans="3:26" ht="15" hidden="1" outlineLevel="2">
      <c r="C1577" s="1464"/>
      <c r="D1577" s="1464"/>
      <c r="E1577" s="1466"/>
      <c r="F1577" s="1468"/>
      <c r="G1577" s="343"/>
      <c r="H1577" s="335" t="s">
        <v>4</v>
      </c>
      <c r="I1577" s="341"/>
      <c r="J1577" s="341"/>
      <c r="K1577" s="341">
        <f t="shared" si="749"/>
        <v>0</v>
      </c>
      <c r="L1577" s="341">
        <f t="shared" si="750"/>
        <v>0</v>
      </c>
      <c r="M1577" s="342"/>
      <c r="N1577" s="341"/>
      <c r="O1577" s="338">
        <f t="shared" si="701"/>
        <v>0</v>
      </c>
      <c r="P1577" s="341"/>
      <c r="Q1577" s="431"/>
      <c r="R1577" s="28">
        <f t="shared" si="751"/>
        <v>0.05</v>
      </c>
      <c r="S1577" s="14"/>
      <c r="T1577" s="423">
        <f t="shared" si="752"/>
        <v>0</v>
      </c>
      <c r="U1577" s="14"/>
      <c r="V1577" s="14">
        <v>1</v>
      </c>
      <c r="W1577" s="14">
        <f t="shared" si="754"/>
        <v>0</v>
      </c>
      <c r="X1577" s="35">
        <f t="shared" si="753"/>
        <v>0</v>
      </c>
      <c r="Y1577" s="14"/>
      <c r="Z1577" s="14"/>
    </row>
    <row r="1578" spans="3:26" ht="15" hidden="1" outlineLevel="2">
      <c r="C1578" s="1464"/>
      <c r="D1578" s="1464"/>
      <c r="E1578" s="1466"/>
      <c r="F1578" s="1468"/>
      <c r="G1578" s="343"/>
      <c r="H1578" s="335" t="s">
        <v>4</v>
      </c>
      <c r="I1578" s="341"/>
      <c r="J1578" s="341"/>
      <c r="K1578" s="341">
        <f t="shared" si="749"/>
        <v>0</v>
      </c>
      <c r="L1578" s="341">
        <f t="shared" si="750"/>
        <v>0</v>
      </c>
      <c r="M1578" s="342"/>
      <c r="N1578" s="341"/>
      <c r="O1578" s="338">
        <f t="shared" si="701"/>
        <v>0</v>
      </c>
      <c r="P1578" s="341"/>
      <c r="Q1578" s="431"/>
      <c r="R1578" s="28">
        <f t="shared" si="751"/>
        <v>0.05</v>
      </c>
      <c r="S1578" s="14"/>
      <c r="T1578" s="423">
        <f t="shared" si="752"/>
        <v>0</v>
      </c>
      <c r="U1578" s="14"/>
      <c r="V1578" s="14">
        <v>1</v>
      </c>
      <c r="W1578" s="14">
        <f t="shared" si="754"/>
        <v>0</v>
      </c>
      <c r="X1578" s="35">
        <f t="shared" si="753"/>
        <v>0</v>
      </c>
      <c r="Y1578" s="14"/>
      <c r="Z1578" s="14"/>
    </row>
    <row r="1579" spans="3:26" ht="15" hidden="1" outlineLevel="2">
      <c r="C1579" s="1464"/>
      <c r="D1579" s="1464"/>
      <c r="E1579" s="1466"/>
      <c r="F1579" s="1468"/>
      <c r="G1579" s="343"/>
      <c r="H1579" s="335" t="s">
        <v>4</v>
      </c>
      <c r="I1579" s="341"/>
      <c r="J1579" s="341"/>
      <c r="K1579" s="341">
        <f t="shared" si="749"/>
        <v>0</v>
      </c>
      <c r="L1579" s="341">
        <f t="shared" si="750"/>
        <v>0</v>
      </c>
      <c r="M1579" s="342"/>
      <c r="N1579" s="341"/>
      <c r="O1579" s="338">
        <f t="shared" si="701"/>
        <v>0</v>
      </c>
      <c r="P1579" s="341"/>
      <c r="Q1579" s="431"/>
      <c r="R1579" s="28">
        <f t="shared" si="751"/>
        <v>0.05</v>
      </c>
      <c r="S1579" s="14"/>
      <c r="T1579" s="423">
        <f t="shared" si="752"/>
        <v>0</v>
      </c>
      <c r="U1579" s="14"/>
      <c r="V1579" s="14">
        <v>1</v>
      </c>
      <c r="W1579" s="14">
        <f t="shared" si="754"/>
        <v>0</v>
      </c>
      <c r="X1579" s="35">
        <f t="shared" si="753"/>
        <v>0</v>
      </c>
      <c r="Y1579" s="14"/>
      <c r="Z1579" s="14"/>
    </row>
    <row r="1580" spans="3:26" ht="15" hidden="1" outlineLevel="2">
      <c r="C1580" s="1464"/>
      <c r="D1580" s="1464"/>
      <c r="E1580" s="1466"/>
      <c r="F1580" s="1468"/>
      <c r="G1580" s="343"/>
      <c r="H1580" s="335" t="s">
        <v>4</v>
      </c>
      <c r="I1580" s="341"/>
      <c r="J1580" s="341"/>
      <c r="K1580" s="341">
        <f t="shared" si="749"/>
        <v>0</v>
      </c>
      <c r="L1580" s="341">
        <f t="shared" si="750"/>
        <v>0</v>
      </c>
      <c r="M1580" s="342"/>
      <c r="N1580" s="341"/>
      <c r="O1580" s="338">
        <f t="shared" si="701"/>
        <v>0</v>
      </c>
      <c r="P1580" s="341"/>
      <c r="Q1580" s="431"/>
      <c r="R1580" s="28">
        <f t="shared" si="751"/>
        <v>0.05</v>
      </c>
      <c r="S1580" s="14"/>
      <c r="T1580" s="423">
        <f t="shared" si="752"/>
        <v>0</v>
      </c>
      <c r="U1580" s="14"/>
      <c r="V1580" s="14">
        <v>1</v>
      </c>
      <c r="W1580" s="14">
        <f t="shared" si="754"/>
        <v>0</v>
      </c>
      <c r="X1580" s="35">
        <f t="shared" si="753"/>
        <v>0</v>
      </c>
      <c r="Y1580" s="14"/>
      <c r="Z1580" s="14"/>
    </row>
    <row r="1581" spans="3:26" ht="15" hidden="1" outlineLevel="2">
      <c r="C1581" s="1464"/>
      <c r="D1581" s="1464"/>
      <c r="E1581" s="1466"/>
      <c r="F1581" s="1468"/>
      <c r="G1581" s="344"/>
      <c r="H1581" s="335" t="s">
        <v>4</v>
      </c>
      <c r="I1581" s="345"/>
      <c r="J1581" s="345"/>
      <c r="K1581" s="341">
        <f t="shared" si="749"/>
        <v>0</v>
      </c>
      <c r="L1581" s="341">
        <f t="shared" si="750"/>
        <v>0</v>
      </c>
      <c r="M1581" s="346"/>
      <c r="N1581" s="345"/>
      <c r="O1581" s="338">
        <f t="shared" si="701"/>
        <v>0</v>
      </c>
      <c r="P1581" s="345"/>
      <c r="Q1581" s="432"/>
      <c r="R1581" s="28">
        <f t="shared" si="751"/>
        <v>0.05</v>
      </c>
      <c r="S1581" s="14"/>
      <c r="T1581" s="423">
        <f t="shared" si="752"/>
        <v>0</v>
      </c>
      <c r="U1581" s="14"/>
      <c r="V1581" s="14">
        <v>1</v>
      </c>
      <c r="W1581" s="14">
        <f t="shared" si="754"/>
        <v>0</v>
      </c>
      <c r="X1581" s="35">
        <f t="shared" si="753"/>
        <v>0</v>
      </c>
      <c r="Y1581" s="14"/>
      <c r="Z1581" s="14"/>
    </row>
    <row r="1582" spans="3:26" ht="15" hidden="1" outlineLevel="2">
      <c r="C1582" s="1464"/>
      <c r="D1582" s="1464"/>
      <c r="E1582" s="1466"/>
      <c r="F1582" s="1468"/>
      <c r="G1582" s="343"/>
      <c r="H1582" s="335" t="s">
        <v>4</v>
      </c>
      <c r="I1582" s="341"/>
      <c r="J1582" s="341"/>
      <c r="K1582" s="341">
        <f t="shared" si="749"/>
        <v>0</v>
      </c>
      <c r="L1582" s="341">
        <f t="shared" si="750"/>
        <v>0</v>
      </c>
      <c r="M1582" s="342"/>
      <c r="N1582" s="341"/>
      <c r="O1582" s="338">
        <f t="shared" si="701"/>
        <v>0</v>
      </c>
      <c r="P1582" s="341"/>
      <c r="Q1582" s="431"/>
      <c r="R1582" s="28">
        <f t="shared" si="751"/>
        <v>0.05</v>
      </c>
      <c r="S1582" s="14"/>
      <c r="T1582" s="423">
        <f t="shared" si="752"/>
        <v>0</v>
      </c>
      <c r="U1582" s="14"/>
      <c r="V1582" s="14">
        <v>1</v>
      </c>
      <c r="W1582" s="14">
        <f t="shared" si="754"/>
        <v>0</v>
      </c>
      <c r="X1582" s="35">
        <f t="shared" si="753"/>
        <v>0</v>
      </c>
      <c r="Y1582" s="14"/>
      <c r="Z1582" s="14"/>
    </row>
    <row r="1583" spans="3:26" ht="15" hidden="1" outlineLevel="2">
      <c r="C1583" s="1464"/>
      <c r="D1583" s="1464"/>
      <c r="E1583" s="1466"/>
      <c r="F1583" s="1468"/>
      <c r="G1583" s="1470" t="s">
        <v>45</v>
      </c>
      <c r="H1583" s="1471"/>
      <c r="I1583" s="347">
        <f>SUM(I1573:I1582)</f>
        <v>0</v>
      </c>
      <c r="J1583" s="347">
        <f t="shared" ref="J1583:K1583" si="755">SUM(J1573:J1582)</f>
        <v>0</v>
      </c>
      <c r="K1583" s="347">
        <f t="shared" si="755"/>
        <v>0</v>
      </c>
      <c r="L1583" s="347">
        <f t="shared" ref="L1583" si="756">SUM(L1573:L1582)</f>
        <v>0</v>
      </c>
      <c r="M1583" s="348"/>
      <c r="N1583" s="347">
        <f>N1573</f>
        <v>0</v>
      </c>
      <c r="O1583" s="349">
        <f t="shared" si="701"/>
        <v>0</v>
      </c>
      <c r="P1583" s="347">
        <f t="shared" ref="P1583:Q1583" si="757">SUM(P1573:P1582)</f>
        <v>0</v>
      </c>
      <c r="Q1583" s="433">
        <f t="shared" si="757"/>
        <v>0</v>
      </c>
      <c r="R1583" s="36" t="str">
        <f t="shared" si="751"/>
        <v/>
      </c>
      <c r="S1583" s="36">
        <f>SUM(S1573:S1582)</f>
        <v>0</v>
      </c>
      <c r="T1583" s="420">
        <f t="shared" ref="T1583" si="758">SUM(T1573:T1582)</f>
        <v>0</v>
      </c>
      <c r="U1583" s="36"/>
      <c r="V1583" s="36"/>
      <c r="W1583" s="36">
        <f t="shared" ref="W1583" si="759">SUM(W1573:W1582)</f>
        <v>0</v>
      </c>
      <c r="X1583" s="36"/>
      <c r="Y1583" s="14"/>
      <c r="Z1583" s="14"/>
    </row>
    <row r="1584" spans="3:26" ht="15" hidden="1" outlineLevel="2">
      <c r="C1584" s="1464"/>
      <c r="D1584" s="1464"/>
      <c r="E1584" s="1466"/>
      <c r="F1584" s="1468"/>
      <c r="G1584" s="350"/>
      <c r="H1584" s="340" t="s">
        <v>28</v>
      </c>
      <c r="I1584" s="336"/>
      <c r="J1584" s="336"/>
      <c r="K1584" s="341">
        <f t="shared" ref="K1584:K1593" si="760">I1584*R1584/12</f>
        <v>0</v>
      </c>
      <c r="L1584" s="341">
        <f t="shared" ref="L1584:L1593" si="761">J1584*S1584/12</f>
        <v>0</v>
      </c>
      <c r="M1584" s="337"/>
      <c r="N1584" s="336"/>
      <c r="O1584" s="338">
        <f t="shared" si="701"/>
        <v>0</v>
      </c>
      <c r="P1584" s="336"/>
      <c r="Q1584" s="430"/>
      <c r="R1584" s="28">
        <f t="shared" si="751"/>
        <v>3.5000000000000003E-2</v>
      </c>
      <c r="S1584" s="14"/>
      <c r="T1584" s="423">
        <f t="shared" ref="T1584:T1593" si="762">I1584*R1584</f>
        <v>0</v>
      </c>
      <c r="U1584" s="14"/>
      <c r="V1584" s="14">
        <v>1</v>
      </c>
      <c r="W1584" s="14">
        <f t="shared" ref="W1584:W1593" si="763">T1584*V1584</f>
        <v>0</v>
      </c>
      <c r="X1584" s="35">
        <f t="shared" ref="X1584:X1593" si="764">W1584/usdrate</f>
        <v>0</v>
      </c>
      <c r="Y1584" s="14"/>
      <c r="Z1584" s="14"/>
    </row>
    <row r="1585" spans="3:26" ht="15" hidden="1" outlineLevel="2">
      <c r="C1585" s="1464"/>
      <c r="D1585" s="1464"/>
      <c r="E1585" s="1466"/>
      <c r="F1585" s="1468"/>
      <c r="G1585" s="343"/>
      <c r="H1585" s="340" t="s">
        <v>28</v>
      </c>
      <c r="I1585" s="341"/>
      <c r="J1585" s="341"/>
      <c r="K1585" s="341">
        <f t="shared" si="760"/>
        <v>0</v>
      </c>
      <c r="L1585" s="341">
        <f t="shared" si="761"/>
        <v>0</v>
      </c>
      <c r="M1585" s="342"/>
      <c r="N1585" s="341"/>
      <c r="O1585" s="338">
        <f t="shared" si="701"/>
        <v>0</v>
      </c>
      <c r="P1585" s="341"/>
      <c r="Q1585" s="431"/>
      <c r="R1585" s="28">
        <f t="shared" si="751"/>
        <v>3.5000000000000003E-2</v>
      </c>
      <c r="S1585" s="14"/>
      <c r="T1585" s="423">
        <f t="shared" si="762"/>
        <v>0</v>
      </c>
      <c r="U1585" s="14"/>
      <c r="V1585" s="14">
        <v>1</v>
      </c>
      <c r="W1585" s="14">
        <f t="shared" si="763"/>
        <v>0</v>
      </c>
      <c r="X1585" s="35">
        <f t="shared" si="764"/>
        <v>0</v>
      </c>
      <c r="Y1585" s="14"/>
      <c r="Z1585" s="14"/>
    </row>
    <row r="1586" spans="3:26" ht="15" hidden="1" outlineLevel="2">
      <c r="C1586" s="1464"/>
      <c r="D1586" s="1464"/>
      <c r="E1586" s="1466"/>
      <c r="F1586" s="1468"/>
      <c r="G1586" s="343"/>
      <c r="H1586" s="340" t="s">
        <v>28</v>
      </c>
      <c r="I1586" s="341"/>
      <c r="J1586" s="341"/>
      <c r="K1586" s="341">
        <f t="shared" si="760"/>
        <v>0</v>
      </c>
      <c r="L1586" s="341">
        <f t="shared" si="761"/>
        <v>0</v>
      </c>
      <c r="M1586" s="337"/>
      <c r="N1586" s="341"/>
      <c r="O1586" s="338">
        <f t="shared" si="701"/>
        <v>0</v>
      </c>
      <c r="P1586" s="341"/>
      <c r="Q1586" s="431"/>
      <c r="R1586" s="28">
        <f t="shared" si="751"/>
        <v>3.5000000000000003E-2</v>
      </c>
      <c r="S1586" s="14"/>
      <c r="T1586" s="423">
        <f t="shared" si="762"/>
        <v>0</v>
      </c>
      <c r="U1586" s="14"/>
      <c r="V1586" s="14">
        <v>1</v>
      </c>
      <c r="W1586" s="14">
        <f t="shared" si="763"/>
        <v>0</v>
      </c>
      <c r="X1586" s="35">
        <f t="shared" si="764"/>
        <v>0</v>
      </c>
      <c r="Y1586" s="14"/>
      <c r="Z1586" s="14"/>
    </row>
    <row r="1587" spans="3:26" ht="15" hidden="1" outlineLevel="2">
      <c r="C1587" s="1464"/>
      <c r="D1587" s="1464"/>
      <c r="E1587" s="1466"/>
      <c r="F1587" s="1468"/>
      <c r="G1587" s="343"/>
      <c r="H1587" s="340" t="s">
        <v>28</v>
      </c>
      <c r="I1587" s="341"/>
      <c r="J1587" s="341"/>
      <c r="K1587" s="341">
        <f t="shared" si="760"/>
        <v>0</v>
      </c>
      <c r="L1587" s="341">
        <f t="shared" si="761"/>
        <v>0</v>
      </c>
      <c r="M1587" s="342"/>
      <c r="N1587" s="341"/>
      <c r="O1587" s="338">
        <f t="shared" si="701"/>
        <v>0</v>
      </c>
      <c r="P1587" s="341"/>
      <c r="Q1587" s="431"/>
      <c r="R1587" s="28">
        <f t="shared" si="751"/>
        <v>3.5000000000000003E-2</v>
      </c>
      <c r="S1587" s="14"/>
      <c r="T1587" s="423">
        <f t="shared" si="762"/>
        <v>0</v>
      </c>
      <c r="U1587" s="14"/>
      <c r="V1587" s="14">
        <v>1</v>
      </c>
      <c r="W1587" s="14">
        <f t="shared" si="763"/>
        <v>0</v>
      </c>
      <c r="X1587" s="35">
        <f t="shared" si="764"/>
        <v>0</v>
      </c>
      <c r="Y1587" s="14"/>
      <c r="Z1587" s="14"/>
    </row>
    <row r="1588" spans="3:26" ht="15" hidden="1" outlineLevel="2">
      <c r="C1588" s="1464"/>
      <c r="D1588" s="1464"/>
      <c r="E1588" s="1466"/>
      <c r="F1588" s="1468"/>
      <c r="G1588" s="343"/>
      <c r="H1588" s="340" t="s">
        <v>28</v>
      </c>
      <c r="I1588" s="341"/>
      <c r="J1588" s="341"/>
      <c r="K1588" s="341">
        <f t="shared" si="760"/>
        <v>0</v>
      </c>
      <c r="L1588" s="341">
        <f t="shared" si="761"/>
        <v>0</v>
      </c>
      <c r="M1588" s="342"/>
      <c r="N1588" s="341"/>
      <c r="O1588" s="338">
        <f t="shared" si="701"/>
        <v>0</v>
      </c>
      <c r="P1588" s="341"/>
      <c r="Q1588" s="431"/>
      <c r="R1588" s="28">
        <f t="shared" si="751"/>
        <v>3.5000000000000003E-2</v>
      </c>
      <c r="S1588" s="14"/>
      <c r="T1588" s="423">
        <f t="shared" si="762"/>
        <v>0</v>
      </c>
      <c r="U1588" s="14"/>
      <c r="V1588" s="14">
        <v>1</v>
      </c>
      <c r="W1588" s="14">
        <f t="shared" si="763"/>
        <v>0</v>
      </c>
      <c r="X1588" s="35">
        <f t="shared" si="764"/>
        <v>0</v>
      </c>
      <c r="Y1588" s="14"/>
      <c r="Z1588" s="14"/>
    </row>
    <row r="1589" spans="3:26" ht="15" hidden="1" outlineLevel="2">
      <c r="C1589" s="1464"/>
      <c r="D1589" s="1464"/>
      <c r="E1589" s="1466"/>
      <c r="F1589" s="1468"/>
      <c r="G1589" s="343"/>
      <c r="H1589" s="340" t="s">
        <v>28</v>
      </c>
      <c r="I1589" s="341"/>
      <c r="J1589" s="341"/>
      <c r="K1589" s="341">
        <f t="shared" si="760"/>
        <v>0</v>
      </c>
      <c r="L1589" s="341">
        <f t="shared" si="761"/>
        <v>0</v>
      </c>
      <c r="M1589" s="342"/>
      <c r="N1589" s="341"/>
      <c r="O1589" s="338">
        <f t="shared" si="701"/>
        <v>0</v>
      </c>
      <c r="P1589" s="341"/>
      <c r="Q1589" s="431"/>
      <c r="R1589" s="28">
        <f t="shared" si="751"/>
        <v>3.5000000000000003E-2</v>
      </c>
      <c r="S1589" s="14"/>
      <c r="T1589" s="423">
        <f t="shared" si="762"/>
        <v>0</v>
      </c>
      <c r="U1589" s="14"/>
      <c r="V1589" s="14">
        <v>1</v>
      </c>
      <c r="W1589" s="14">
        <f t="shared" si="763"/>
        <v>0</v>
      </c>
      <c r="X1589" s="35">
        <f t="shared" si="764"/>
        <v>0</v>
      </c>
      <c r="Y1589" s="14"/>
      <c r="Z1589" s="14"/>
    </row>
    <row r="1590" spans="3:26" ht="15" hidden="1" outlineLevel="2">
      <c r="C1590" s="1464"/>
      <c r="D1590" s="1464"/>
      <c r="E1590" s="1466"/>
      <c r="F1590" s="1468"/>
      <c r="G1590" s="343"/>
      <c r="H1590" s="340" t="s">
        <v>28</v>
      </c>
      <c r="I1590" s="341"/>
      <c r="J1590" s="341"/>
      <c r="K1590" s="341">
        <f t="shared" si="760"/>
        <v>0</v>
      </c>
      <c r="L1590" s="341">
        <f t="shared" si="761"/>
        <v>0</v>
      </c>
      <c r="M1590" s="342"/>
      <c r="N1590" s="341"/>
      <c r="O1590" s="338">
        <f t="shared" si="701"/>
        <v>0</v>
      </c>
      <c r="P1590" s="341"/>
      <c r="Q1590" s="431"/>
      <c r="R1590" s="28">
        <f t="shared" si="751"/>
        <v>3.5000000000000003E-2</v>
      </c>
      <c r="S1590" s="14"/>
      <c r="T1590" s="423">
        <f t="shared" si="762"/>
        <v>0</v>
      </c>
      <c r="U1590" s="14"/>
      <c r="V1590" s="14">
        <v>1</v>
      </c>
      <c r="W1590" s="14">
        <f t="shared" si="763"/>
        <v>0</v>
      </c>
      <c r="X1590" s="35">
        <f t="shared" si="764"/>
        <v>0</v>
      </c>
      <c r="Y1590" s="29"/>
      <c r="Z1590" s="29"/>
    </row>
    <row r="1591" spans="3:26" ht="15" hidden="1" outlineLevel="2">
      <c r="C1591" s="1464"/>
      <c r="D1591" s="1464"/>
      <c r="E1591" s="1466"/>
      <c r="F1591" s="1468"/>
      <c r="G1591" s="343"/>
      <c r="H1591" s="340" t="s">
        <v>28</v>
      </c>
      <c r="I1591" s="341"/>
      <c r="J1591" s="341"/>
      <c r="K1591" s="341">
        <f t="shared" si="760"/>
        <v>0</v>
      </c>
      <c r="L1591" s="341">
        <f t="shared" si="761"/>
        <v>0</v>
      </c>
      <c r="M1591" s="342"/>
      <c r="N1591" s="341"/>
      <c r="O1591" s="338">
        <f t="shared" si="701"/>
        <v>0</v>
      </c>
      <c r="P1591" s="341"/>
      <c r="Q1591" s="431"/>
      <c r="R1591" s="28">
        <f t="shared" si="751"/>
        <v>3.5000000000000003E-2</v>
      </c>
      <c r="S1591" s="14"/>
      <c r="T1591" s="423">
        <f t="shared" si="762"/>
        <v>0</v>
      </c>
      <c r="U1591" s="14"/>
      <c r="V1591" s="14">
        <v>1</v>
      </c>
      <c r="W1591" s="14">
        <f t="shared" si="763"/>
        <v>0</v>
      </c>
      <c r="X1591" s="35">
        <f t="shared" si="764"/>
        <v>0</v>
      </c>
      <c r="Y1591" s="14"/>
      <c r="Z1591" s="14"/>
    </row>
    <row r="1592" spans="3:26" ht="15" hidden="1" outlineLevel="2">
      <c r="C1592" s="1464"/>
      <c r="D1592" s="1464"/>
      <c r="E1592" s="1466"/>
      <c r="F1592" s="1468"/>
      <c r="G1592" s="344"/>
      <c r="H1592" s="340" t="s">
        <v>28</v>
      </c>
      <c r="I1592" s="345"/>
      <c r="J1592" s="345"/>
      <c r="K1592" s="341">
        <f t="shared" si="760"/>
        <v>0</v>
      </c>
      <c r="L1592" s="341">
        <f t="shared" si="761"/>
        <v>0</v>
      </c>
      <c r="M1592" s="346"/>
      <c r="N1592" s="345"/>
      <c r="O1592" s="338">
        <f t="shared" si="701"/>
        <v>0</v>
      </c>
      <c r="P1592" s="345"/>
      <c r="Q1592" s="432"/>
      <c r="R1592" s="28">
        <f t="shared" si="751"/>
        <v>3.5000000000000003E-2</v>
      </c>
      <c r="S1592" s="14"/>
      <c r="T1592" s="423">
        <f t="shared" si="762"/>
        <v>0</v>
      </c>
      <c r="U1592" s="14"/>
      <c r="V1592" s="14">
        <v>1</v>
      </c>
      <c r="W1592" s="14">
        <f t="shared" si="763"/>
        <v>0</v>
      </c>
      <c r="X1592" s="35">
        <f t="shared" si="764"/>
        <v>0</v>
      </c>
      <c r="Y1592" s="14"/>
      <c r="Z1592" s="14"/>
    </row>
    <row r="1593" spans="3:26" ht="15" hidden="1" outlineLevel="2">
      <c r="C1593" s="1464"/>
      <c r="D1593" s="1464"/>
      <c r="E1593" s="1466"/>
      <c r="F1593" s="1468"/>
      <c r="G1593" s="343"/>
      <c r="H1593" s="340" t="s">
        <v>28</v>
      </c>
      <c r="I1593" s="341"/>
      <c r="J1593" s="341"/>
      <c r="K1593" s="341">
        <f t="shared" si="760"/>
        <v>0</v>
      </c>
      <c r="L1593" s="341">
        <f t="shared" si="761"/>
        <v>0</v>
      </c>
      <c r="M1593" s="342"/>
      <c r="N1593" s="341"/>
      <c r="O1593" s="338">
        <f t="shared" si="701"/>
        <v>0</v>
      </c>
      <c r="P1593" s="341"/>
      <c r="Q1593" s="431"/>
      <c r="R1593" s="28">
        <f t="shared" si="751"/>
        <v>3.5000000000000003E-2</v>
      </c>
      <c r="S1593" s="14"/>
      <c r="T1593" s="423">
        <f t="shared" si="762"/>
        <v>0</v>
      </c>
      <c r="U1593" s="14"/>
      <c r="V1593" s="14">
        <v>1</v>
      </c>
      <c r="W1593" s="14">
        <f t="shared" si="763"/>
        <v>0</v>
      </c>
      <c r="X1593" s="35">
        <f t="shared" si="764"/>
        <v>0</v>
      </c>
      <c r="Y1593" s="14"/>
      <c r="Z1593" s="14"/>
    </row>
    <row r="1594" spans="3:26" ht="15" hidden="1" outlineLevel="2">
      <c r="C1594" s="1464"/>
      <c r="D1594" s="1464"/>
      <c r="E1594" s="1466"/>
      <c r="F1594" s="1468"/>
      <c r="G1594" s="1470" t="s">
        <v>51</v>
      </c>
      <c r="H1594" s="1471"/>
      <c r="I1594" s="347">
        <f>SUM(I1584:I1593)</f>
        <v>0</v>
      </c>
      <c r="J1594" s="347">
        <f t="shared" ref="J1594:K1594" si="765">SUM(J1584:J1593)</f>
        <v>0</v>
      </c>
      <c r="K1594" s="347">
        <f t="shared" si="765"/>
        <v>0</v>
      </c>
      <c r="L1594" s="347">
        <f t="shared" ref="L1594" si="766">SUM(L1584:L1593)</f>
        <v>0</v>
      </c>
      <c r="M1594" s="348"/>
      <c r="N1594" s="347">
        <f>N1584</f>
        <v>0</v>
      </c>
      <c r="O1594" s="349">
        <f t="shared" si="701"/>
        <v>0</v>
      </c>
      <c r="P1594" s="347">
        <f t="shared" ref="P1594:Q1594" si="767">SUM(P1584:P1593)</f>
        <v>0</v>
      </c>
      <c r="Q1594" s="433">
        <f t="shared" si="767"/>
        <v>0</v>
      </c>
      <c r="R1594" s="36" t="str">
        <f t="shared" si="751"/>
        <v/>
      </c>
      <c r="S1594" s="36">
        <f>SUM(S1584:S1593)</f>
        <v>0</v>
      </c>
      <c r="T1594" s="420">
        <f t="shared" ref="T1594" si="768">SUM(T1584:T1593)</f>
        <v>0</v>
      </c>
      <c r="U1594" s="36"/>
      <c r="V1594" s="36"/>
      <c r="W1594" s="36">
        <f t="shared" ref="W1594" si="769">SUM(W1584:W1593)</f>
        <v>0</v>
      </c>
      <c r="X1594" s="36"/>
      <c r="Y1594" s="14"/>
      <c r="Z1594" s="14"/>
    </row>
    <row r="1595" spans="3:26" ht="15" hidden="1" outlineLevel="2">
      <c r="C1595" s="1464"/>
      <c r="D1595" s="1464"/>
      <c r="E1595" s="1466"/>
      <c r="F1595" s="1468"/>
      <c r="G1595" s="350"/>
      <c r="H1595" s="335" t="s">
        <v>22</v>
      </c>
      <c r="I1595" s="336"/>
      <c r="J1595" s="336"/>
      <c r="K1595" s="341">
        <f t="shared" ref="K1595:K1604" si="770">I1595*R1595/12</f>
        <v>0</v>
      </c>
      <c r="L1595" s="341">
        <f t="shared" ref="L1595:L1604" si="771">J1595*S1595/12</f>
        <v>0</v>
      </c>
      <c r="M1595" s="337"/>
      <c r="N1595" s="336"/>
      <c r="O1595" s="338">
        <f t="shared" si="701"/>
        <v>0</v>
      </c>
      <c r="P1595" s="336"/>
      <c r="Q1595" s="430"/>
      <c r="R1595" s="28">
        <f t="shared" si="751"/>
        <v>3.5000000000000003E-2</v>
      </c>
      <c r="S1595" s="14"/>
      <c r="T1595" s="423">
        <f t="shared" ref="T1595:T1604" si="772">I1595*R1595</f>
        <v>0</v>
      </c>
      <c r="U1595" s="14"/>
      <c r="V1595" s="14">
        <v>1</v>
      </c>
      <c r="W1595" s="14">
        <f t="shared" ref="W1595:W1604" si="773">T1595*V1595</f>
        <v>0</v>
      </c>
      <c r="X1595" s="35">
        <f t="shared" ref="X1595:X1604" si="774">W1595/usdrate</f>
        <v>0</v>
      </c>
      <c r="Y1595" s="14"/>
      <c r="Z1595" s="14"/>
    </row>
    <row r="1596" spans="3:26" ht="15" hidden="1" outlineLevel="2">
      <c r="C1596" s="1464"/>
      <c r="D1596" s="1464"/>
      <c r="E1596" s="1466"/>
      <c r="F1596" s="1468"/>
      <c r="G1596" s="343"/>
      <c r="H1596" s="335" t="s">
        <v>22</v>
      </c>
      <c r="I1596" s="341"/>
      <c r="J1596" s="341"/>
      <c r="K1596" s="341">
        <f t="shared" si="770"/>
        <v>0</v>
      </c>
      <c r="L1596" s="341">
        <f t="shared" si="771"/>
        <v>0</v>
      </c>
      <c r="M1596" s="342"/>
      <c r="N1596" s="341"/>
      <c r="O1596" s="338">
        <f t="shared" si="701"/>
        <v>0</v>
      </c>
      <c r="P1596" s="341"/>
      <c r="Q1596" s="431"/>
      <c r="R1596" s="28">
        <f t="shared" si="751"/>
        <v>3.5000000000000003E-2</v>
      </c>
      <c r="S1596" s="14"/>
      <c r="T1596" s="423">
        <f t="shared" si="772"/>
        <v>0</v>
      </c>
      <c r="U1596" s="14"/>
      <c r="V1596" s="14">
        <v>1</v>
      </c>
      <c r="W1596" s="14">
        <f t="shared" si="773"/>
        <v>0</v>
      </c>
      <c r="X1596" s="35">
        <f t="shared" si="774"/>
        <v>0</v>
      </c>
      <c r="Y1596" s="14"/>
      <c r="Z1596" s="14"/>
    </row>
    <row r="1597" spans="3:26" ht="15" hidden="1" outlineLevel="2">
      <c r="C1597" s="1464"/>
      <c r="D1597" s="1464"/>
      <c r="E1597" s="1466"/>
      <c r="F1597" s="1468"/>
      <c r="G1597" s="343"/>
      <c r="H1597" s="335" t="s">
        <v>22</v>
      </c>
      <c r="I1597" s="341"/>
      <c r="J1597" s="341"/>
      <c r="K1597" s="341">
        <f t="shared" si="770"/>
        <v>0</v>
      </c>
      <c r="L1597" s="341">
        <f t="shared" si="771"/>
        <v>0</v>
      </c>
      <c r="M1597" s="337"/>
      <c r="N1597" s="341"/>
      <c r="O1597" s="338">
        <f t="shared" si="701"/>
        <v>0</v>
      </c>
      <c r="P1597" s="341"/>
      <c r="Q1597" s="431"/>
      <c r="R1597" s="28">
        <f t="shared" si="751"/>
        <v>3.5000000000000003E-2</v>
      </c>
      <c r="S1597" s="14"/>
      <c r="T1597" s="423">
        <f t="shared" si="772"/>
        <v>0</v>
      </c>
      <c r="U1597" s="14"/>
      <c r="V1597" s="14">
        <v>1</v>
      </c>
      <c r="W1597" s="14">
        <f t="shared" si="773"/>
        <v>0</v>
      </c>
      <c r="X1597" s="35">
        <f t="shared" si="774"/>
        <v>0</v>
      </c>
      <c r="Y1597" s="14"/>
      <c r="Z1597" s="14"/>
    </row>
    <row r="1598" spans="3:26" ht="15" hidden="1" outlineLevel="2">
      <c r="C1598" s="1464"/>
      <c r="D1598" s="1464"/>
      <c r="E1598" s="1466"/>
      <c r="F1598" s="1468"/>
      <c r="G1598" s="343"/>
      <c r="H1598" s="335" t="s">
        <v>22</v>
      </c>
      <c r="I1598" s="341"/>
      <c r="J1598" s="341"/>
      <c r="K1598" s="341">
        <f t="shared" si="770"/>
        <v>0</v>
      </c>
      <c r="L1598" s="341">
        <f t="shared" si="771"/>
        <v>0</v>
      </c>
      <c r="M1598" s="342"/>
      <c r="N1598" s="341"/>
      <c r="O1598" s="338">
        <f t="shared" si="701"/>
        <v>0</v>
      </c>
      <c r="P1598" s="341"/>
      <c r="Q1598" s="431"/>
      <c r="R1598" s="28">
        <f t="shared" si="751"/>
        <v>3.5000000000000003E-2</v>
      </c>
      <c r="S1598" s="14"/>
      <c r="T1598" s="423">
        <f t="shared" si="772"/>
        <v>0</v>
      </c>
      <c r="U1598" s="14"/>
      <c r="V1598" s="14">
        <v>1</v>
      </c>
      <c r="W1598" s="14">
        <f t="shared" si="773"/>
        <v>0</v>
      </c>
      <c r="X1598" s="35">
        <f t="shared" si="774"/>
        <v>0</v>
      </c>
      <c r="Y1598" s="14"/>
      <c r="Z1598" s="14"/>
    </row>
    <row r="1599" spans="3:26" ht="15" hidden="1" outlineLevel="2">
      <c r="C1599" s="1464"/>
      <c r="D1599" s="1464"/>
      <c r="E1599" s="1466"/>
      <c r="F1599" s="1468"/>
      <c r="G1599" s="343"/>
      <c r="H1599" s="335" t="s">
        <v>22</v>
      </c>
      <c r="I1599" s="341"/>
      <c r="J1599" s="341"/>
      <c r="K1599" s="341">
        <f t="shared" si="770"/>
        <v>0</v>
      </c>
      <c r="L1599" s="341">
        <f t="shared" si="771"/>
        <v>0</v>
      </c>
      <c r="M1599" s="342"/>
      <c r="N1599" s="341"/>
      <c r="O1599" s="338">
        <f t="shared" si="701"/>
        <v>0</v>
      </c>
      <c r="P1599" s="341"/>
      <c r="Q1599" s="431"/>
      <c r="R1599" s="28">
        <f t="shared" si="751"/>
        <v>3.5000000000000003E-2</v>
      </c>
      <c r="S1599" s="14"/>
      <c r="T1599" s="423">
        <f t="shared" si="772"/>
        <v>0</v>
      </c>
      <c r="U1599" s="14"/>
      <c r="V1599" s="14">
        <v>1</v>
      </c>
      <c r="W1599" s="14">
        <f t="shared" si="773"/>
        <v>0</v>
      </c>
      <c r="X1599" s="35">
        <f t="shared" si="774"/>
        <v>0</v>
      </c>
      <c r="Y1599" s="14"/>
      <c r="Z1599" s="14"/>
    </row>
    <row r="1600" spans="3:26" ht="15" hidden="1" outlineLevel="2">
      <c r="C1600" s="1464"/>
      <c r="D1600" s="1464"/>
      <c r="E1600" s="1466"/>
      <c r="F1600" s="1468"/>
      <c r="G1600" s="343"/>
      <c r="H1600" s="335" t="s">
        <v>22</v>
      </c>
      <c r="I1600" s="341"/>
      <c r="J1600" s="341"/>
      <c r="K1600" s="341">
        <f t="shared" si="770"/>
        <v>0</v>
      </c>
      <c r="L1600" s="341">
        <f t="shared" si="771"/>
        <v>0</v>
      </c>
      <c r="M1600" s="342"/>
      <c r="N1600" s="341"/>
      <c r="O1600" s="338">
        <f t="shared" ref="O1600:O1640" si="775">IF(N1600=0,0,N1600/J1600)</f>
        <v>0</v>
      </c>
      <c r="P1600" s="341"/>
      <c r="Q1600" s="431"/>
      <c r="R1600" s="28">
        <f t="shared" si="751"/>
        <v>3.5000000000000003E-2</v>
      </c>
      <c r="S1600" s="14"/>
      <c r="T1600" s="423">
        <f t="shared" si="772"/>
        <v>0</v>
      </c>
      <c r="U1600" s="14"/>
      <c r="V1600" s="14">
        <v>1</v>
      </c>
      <c r="W1600" s="14">
        <f t="shared" si="773"/>
        <v>0</v>
      </c>
      <c r="X1600" s="35">
        <f t="shared" si="774"/>
        <v>0</v>
      </c>
      <c r="Y1600" s="14"/>
      <c r="Z1600" s="14"/>
    </row>
    <row r="1601" spans="3:26" ht="15" hidden="1" outlineLevel="2">
      <c r="C1601" s="1464"/>
      <c r="D1601" s="1464"/>
      <c r="E1601" s="1466"/>
      <c r="F1601" s="1468"/>
      <c r="G1601" s="343"/>
      <c r="H1601" s="335" t="s">
        <v>22</v>
      </c>
      <c r="I1601" s="341"/>
      <c r="J1601" s="341"/>
      <c r="K1601" s="341">
        <f t="shared" si="770"/>
        <v>0</v>
      </c>
      <c r="L1601" s="341">
        <f t="shared" si="771"/>
        <v>0</v>
      </c>
      <c r="M1601" s="342"/>
      <c r="N1601" s="341"/>
      <c r="O1601" s="338">
        <f t="shared" si="775"/>
        <v>0</v>
      </c>
      <c r="P1601" s="341"/>
      <c r="Q1601" s="431"/>
      <c r="R1601" s="28">
        <f t="shared" si="751"/>
        <v>3.5000000000000003E-2</v>
      </c>
      <c r="S1601" s="14"/>
      <c r="T1601" s="423">
        <f t="shared" si="772"/>
        <v>0</v>
      </c>
      <c r="U1601" s="14"/>
      <c r="V1601" s="14">
        <v>1</v>
      </c>
      <c r="W1601" s="14">
        <f t="shared" si="773"/>
        <v>0</v>
      </c>
      <c r="X1601" s="35">
        <f t="shared" si="774"/>
        <v>0</v>
      </c>
      <c r="Y1601" s="14"/>
      <c r="Z1601" s="14"/>
    </row>
    <row r="1602" spans="3:26" ht="15" hidden="1" outlineLevel="2">
      <c r="C1602" s="1464"/>
      <c r="D1602" s="1464"/>
      <c r="E1602" s="1466"/>
      <c r="F1602" s="1468"/>
      <c r="G1602" s="343"/>
      <c r="H1602" s="335" t="s">
        <v>22</v>
      </c>
      <c r="I1602" s="341"/>
      <c r="J1602" s="341"/>
      <c r="K1602" s="341">
        <f t="shared" si="770"/>
        <v>0</v>
      </c>
      <c r="L1602" s="341">
        <f t="shared" si="771"/>
        <v>0</v>
      </c>
      <c r="M1602" s="342"/>
      <c r="N1602" s="341"/>
      <c r="O1602" s="338">
        <f t="shared" si="775"/>
        <v>0</v>
      </c>
      <c r="P1602" s="341"/>
      <c r="Q1602" s="431"/>
      <c r="R1602" s="28">
        <f t="shared" si="751"/>
        <v>3.5000000000000003E-2</v>
      </c>
      <c r="S1602" s="14"/>
      <c r="T1602" s="423">
        <f t="shared" si="772"/>
        <v>0</v>
      </c>
      <c r="U1602" s="14"/>
      <c r="V1602" s="14">
        <v>1</v>
      </c>
      <c r="W1602" s="14">
        <f t="shared" si="773"/>
        <v>0</v>
      </c>
      <c r="X1602" s="35">
        <f t="shared" si="774"/>
        <v>0</v>
      </c>
      <c r="Y1602" s="14"/>
      <c r="Z1602" s="14"/>
    </row>
    <row r="1603" spans="3:26" ht="15" hidden="1" outlineLevel="2">
      <c r="C1603" s="1464"/>
      <c r="D1603" s="1464"/>
      <c r="E1603" s="1466"/>
      <c r="F1603" s="1468"/>
      <c r="G1603" s="344"/>
      <c r="H1603" s="335" t="s">
        <v>22</v>
      </c>
      <c r="I1603" s="345"/>
      <c r="J1603" s="345"/>
      <c r="K1603" s="341">
        <f t="shared" si="770"/>
        <v>0</v>
      </c>
      <c r="L1603" s="341">
        <f t="shared" si="771"/>
        <v>0</v>
      </c>
      <c r="M1603" s="346"/>
      <c r="N1603" s="345"/>
      <c r="O1603" s="338">
        <f t="shared" si="775"/>
        <v>0</v>
      </c>
      <c r="P1603" s="345"/>
      <c r="Q1603" s="432"/>
      <c r="R1603" s="28">
        <f t="shared" si="751"/>
        <v>3.5000000000000003E-2</v>
      </c>
      <c r="S1603" s="14"/>
      <c r="T1603" s="423">
        <f t="shared" si="772"/>
        <v>0</v>
      </c>
      <c r="U1603" s="14"/>
      <c r="V1603" s="14">
        <v>1</v>
      </c>
      <c r="W1603" s="14">
        <f t="shared" si="773"/>
        <v>0</v>
      </c>
      <c r="X1603" s="35">
        <f t="shared" si="774"/>
        <v>0</v>
      </c>
      <c r="Y1603" s="14"/>
      <c r="Z1603" s="14"/>
    </row>
    <row r="1604" spans="3:26" ht="15" hidden="1" outlineLevel="2">
      <c r="C1604" s="1464"/>
      <c r="D1604" s="1464"/>
      <c r="E1604" s="1466"/>
      <c r="F1604" s="1468"/>
      <c r="G1604" s="343"/>
      <c r="H1604" s="335" t="s">
        <v>22</v>
      </c>
      <c r="I1604" s="341"/>
      <c r="J1604" s="341"/>
      <c r="K1604" s="341">
        <f t="shared" si="770"/>
        <v>0</v>
      </c>
      <c r="L1604" s="341">
        <f t="shared" si="771"/>
        <v>0</v>
      </c>
      <c r="M1604" s="342"/>
      <c r="N1604" s="341"/>
      <c r="O1604" s="338">
        <f t="shared" si="775"/>
        <v>0</v>
      </c>
      <c r="P1604" s="341"/>
      <c r="Q1604" s="431"/>
      <c r="R1604" s="28">
        <f t="shared" si="751"/>
        <v>3.5000000000000003E-2</v>
      </c>
      <c r="S1604" s="14"/>
      <c r="T1604" s="423">
        <f t="shared" si="772"/>
        <v>0</v>
      </c>
      <c r="U1604" s="14"/>
      <c r="V1604" s="14">
        <v>1</v>
      </c>
      <c r="W1604" s="14">
        <f t="shared" si="773"/>
        <v>0</v>
      </c>
      <c r="X1604" s="35">
        <f t="shared" si="774"/>
        <v>0</v>
      </c>
      <c r="Y1604" s="14"/>
      <c r="Z1604" s="14"/>
    </row>
    <row r="1605" spans="3:26" ht="15" hidden="1" outlineLevel="2">
      <c r="C1605" s="1464"/>
      <c r="D1605" s="1464"/>
      <c r="E1605" s="1466"/>
      <c r="F1605" s="1468"/>
      <c r="G1605" s="1470" t="s">
        <v>44</v>
      </c>
      <c r="H1605" s="1471"/>
      <c r="I1605" s="347">
        <f>SUM(I1595:I1604)</f>
        <v>0</v>
      </c>
      <c r="J1605" s="347">
        <f t="shared" ref="J1605" si="776">SUM(J1595:J1604)</f>
        <v>0</v>
      </c>
      <c r="K1605" s="347">
        <f>SUM(K1595:K1604)</f>
        <v>0</v>
      </c>
      <c r="L1605" s="347">
        <f>SUM(L1595:L1604)</f>
        <v>0</v>
      </c>
      <c r="M1605" s="348"/>
      <c r="N1605" s="347">
        <f>N1595</f>
        <v>0</v>
      </c>
      <c r="O1605" s="349">
        <f t="shared" si="775"/>
        <v>0</v>
      </c>
      <c r="P1605" s="347">
        <f t="shared" ref="P1605:Q1605" si="777">SUM(P1595:P1604)</f>
        <v>0</v>
      </c>
      <c r="Q1605" s="433">
        <f t="shared" si="777"/>
        <v>0</v>
      </c>
      <c r="R1605" s="36" t="str">
        <f t="shared" si="751"/>
        <v/>
      </c>
      <c r="S1605" s="36">
        <f>SUM(S1595:S1604)</f>
        <v>0</v>
      </c>
      <c r="T1605" s="420">
        <f t="shared" ref="T1605" si="778">SUM(T1595:T1604)</f>
        <v>0</v>
      </c>
      <c r="U1605" s="36"/>
      <c r="V1605" s="36"/>
      <c r="W1605" s="36">
        <f t="shared" ref="W1605" si="779">SUM(W1595:W1604)</f>
        <v>0</v>
      </c>
      <c r="X1605" s="36"/>
      <c r="Y1605" s="14"/>
      <c r="Z1605" s="14"/>
    </row>
    <row r="1606" spans="3:26" ht="15" hidden="1" outlineLevel="1" collapsed="1">
      <c r="C1606" s="1464"/>
      <c r="D1606" s="1464"/>
      <c r="E1606" s="1466"/>
      <c r="F1606" s="1469"/>
      <c r="G1606" s="1470" t="s">
        <v>177</v>
      </c>
      <c r="H1606" s="1471"/>
      <c r="I1606" s="347">
        <f>(I1583/usdrate)+(I1594*jodrate)+I1605</f>
        <v>0</v>
      </c>
      <c r="J1606" s="347">
        <f>(J1583/usdrate)+(J1594*jodrate)+J1605</f>
        <v>0</v>
      </c>
      <c r="K1606" s="347">
        <f>(K1583/usdrate)+(K1594*jodrate)+K1605</f>
        <v>0</v>
      </c>
      <c r="L1606" s="347">
        <f>(L1583/usdrate)+(L1594*jodrate)+L1605</f>
        <v>0</v>
      </c>
      <c r="M1606" s="348"/>
      <c r="N1606" s="347">
        <f>(N1583/usdrate)+(N1594*jodrate)+N1605</f>
        <v>0</v>
      </c>
      <c r="O1606" s="349">
        <f t="shared" si="775"/>
        <v>0</v>
      </c>
      <c r="P1606" s="347">
        <f>(P1583/usdrate)+(P1594*jodrate)+P1605</f>
        <v>0</v>
      </c>
      <c r="Q1606" s="433">
        <f>(Q1583/usdrate)+(Q1594*jodrate)+Q1605</f>
        <v>0</v>
      </c>
      <c r="R1606" s="58"/>
      <c r="S1606" s="36">
        <f t="shared" ref="S1606:W1606" si="780">(S1583/usdrate)+(S1594*jodrate)+S1605</f>
        <v>0</v>
      </c>
      <c r="T1606" s="420">
        <f t="shared" si="780"/>
        <v>0</v>
      </c>
      <c r="U1606" s="36">
        <f t="shared" si="780"/>
        <v>0</v>
      </c>
      <c r="V1606" s="36">
        <f t="shared" si="780"/>
        <v>0</v>
      </c>
      <c r="W1606" s="36">
        <f t="shared" si="780"/>
        <v>0</v>
      </c>
      <c r="X1606" s="36"/>
      <c r="Y1606" s="14"/>
      <c r="Z1606" s="14"/>
    </row>
    <row r="1607" spans="3:26" ht="15" hidden="1" outlineLevel="2">
      <c r="C1607" s="1464"/>
      <c r="D1607" s="1464"/>
      <c r="E1607" s="1466"/>
      <c r="F1607" s="1472" t="s">
        <v>171</v>
      </c>
      <c r="G1607" s="353"/>
      <c r="H1607" s="340" t="s">
        <v>4</v>
      </c>
      <c r="I1607" s="341"/>
      <c r="J1607" s="341"/>
      <c r="K1607" s="341"/>
      <c r="L1607" s="341"/>
      <c r="M1607" s="337"/>
      <c r="N1607" s="336"/>
      <c r="O1607" s="338">
        <f t="shared" si="775"/>
        <v>0</v>
      </c>
      <c r="P1607" s="341"/>
      <c r="Q1607" s="431"/>
      <c r="R1607" s="28"/>
      <c r="S1607" s="14"/>
      <c r="T1607" s="423"/>
      <c r="U1607" s="14"/>
      <c r="V1607" s="14"/>
      <c r="W1607" s="14"/>
      <c r="X1607" s="14"/>
      <c r="Y1607" s="14"/>
      <c r="Z1607" s="14"/>
    </row>
    <row r="1608" spans="3:26" ht="15" hidden="1" outlineLevel="2">
      <c r="C1608" s="1464"/>
      <c r="D1608" s="1464"/>
      <c r="E1608" s="1466"/>
      <c r="F1608" s="1468"/>
      <c r="G1608" s="343"/>
      <c r="H1608" s="340" t="s">
        <v>4</v>
      </c>
      <c r="I1608" s="341"/>
      <c r="J1608" s="341"/>
      <c r="K1608" s="341"/>
      <c r="L1608" s="341"/>
      <c r="M1608" s="342"/>
      <c r="N1608" s="341">
        <v>0</v>
      </c>
      <c r="O1608" s="338">
        <f t="shared" si="775"/>
        <v>0</v>
      </c>
      <c r="P1608" s="341"/>
      <c r="Q1608" s="431"/>
      <c r="R1608" s="28"/>
      <c r="S1608" s="14"/>
      <c r="T1608" s="423"/>
      <c r="U1608" s="14"/>
      <c r="V1608" s="14"/>
      <c r="W1608" s="14"/>
      <c r="X1608" s="14"/>
      <c r="Y1608" s="14"/>
      <c r="Z1608" s="14"/>
    </row>
    <row r="1609" spans="3:26" ht="15" hidden="1" outlineLevel="2">
      <c r="C1609" s="1464"/>
      <c r="D1609" s="1464"/>
      <c r="E1609" s="1466"/>
      <c r="F1609" s="1468"/>
      <c r="G1609" s="343"/>
      <c r="H1609" s="340" t="s">
        <v>4</v>
      </c>
      <c r="I1609" s="341"/>
      <c r="J1609" s="341"/>
      <c r="K1609" s="341"/>
      <c r="L1609" s="341"/>
      <c r="M1609" s="337"/>
      <c r="N1609" s="341"/>
      <c r="O1609" s="338">
        <f t="shared" si="775"/>
        <v>0</v>
      </c>
      <c r="P1609" s="341"/>
      <c r="Q1609" s="431"/>
      <c r="R1609" s="28"/>
      <c r="S1609" s="14"/>
      <c r="T1609" s="423"/>
      <c r="U1609" s="14"/>
      <c r="V1609" s="14"/>
      <c r="W1609" s="14"/>
      <c r="X1609" s="14"/>
      <c r="Y1609" s="14"/>
      <c r="Z1609" s="14"/>
    </row>
    <row r="1610" spans="3:26" ht="15" hidden="1" outlineLevel="2">
      <c r="C1610" s="1464"/>
      <c r="D1610" s="1464"/>
      <c r="E1610" s="1466"/>
      <c r="F1610" s="1468"/>
      <c r="G1610" s="343"/>
      <c r="H1610" s="340" t="s">
        <v>4</v>
      </c>
      <c r="I1610" s="341"/>
      <c r="J1610" s="341"/>
      <c r="K1610" s="341"/>
      <c r="L1610" s="341"/>
      <c r="M1610" s="342"/>
      <c r="N1610" s="341"/>
      <c r="O1610" s="338">
        <f t="shared" si="775"/>
        <v>0</v>
      </c>
      <c r="P1610" s="341"/>
      <c r="Q1610" s="431"/>
      <c r="R1610" s="28"/>
      <c r="S1610" s="14"/>
      <c r="T1610" s="423"/>
      <c r="U1610" s="14"/>
      <c r="V1610" s="14"/>
      <c r="W1610" s="14"/>
      <c r="X1610" s="14"/>
      <c r="Y1610" s="14"/>
      <c r="Z1610" s="14"/>
    </row>
    <row r="1611" spans="3:26" ht="15" hidden="1" outlineLevel="2">
      <c r="C1611" s="1464"/>
      <c r="D1611" s="1464"/>
      <c r="E1611" s="1466"/>
      <c r="F1611" s="1468"/>
      <c r="G1611" s="343"/>
      <c r="H1611" s="340" t="s">
        <v>4</v>
      </c>
      <c r="I1611" s="341"/>
      <c r="J1611" s="341"/>
      <c r="K1611" s="341"/>
      <c r="L1611" s="341"/>
      <c r="M1611" s="342"/>
      <c r="N1611" s="341"/>
      <c r="O1611" s="338">
        <f t="shared" si="775"/>
        <v>0</v>
      </c>
      <c r="P1611" s="341"/>
      <c r="Q1611" s="431"/>
      <c r="R1611" s="28"/>
      <c r="S1611" s="29"/>
      <c r="T1611" s="424"/>
      <c r="U1611" s="29"/>
      <c r="V1611" s="29"/>
      <c r="W1611" s="29"/>
      <c r="X1611" s="29"/>
      <c r="Y1611" s="29"/>
      <c r="Z1611" s="29"/>
    </row>
    <row r="1612" spans="3:26" ht="15" hidden="1" outlineLevel="2">
      <c r="C1612" s="1464"/>
      <c r="D1612" s="1464"/>
      <c r="E1612" s="1466"/>
      <c r="F1612" s="1468"/>
      <c r="G1612" s="343"/>
      <c r="H1612" s="340" t="s">
        <v>4</v>
      </c>
      <c r="I1612" s="341"/>
      <c r="J1612" s="341"/>
      <c r="K1612" s="341"/>
      <c r="L1612" s="341"/>
      <c r="M1612" s="342"/>
      <c r="N1612" s="341"/>
      <c r="O1612" s="338">
        <f t="shared" si="775"/>
        <v>0</v>
      </c>
      <c r="P1612" s="341"/>
      <c r="Q1612" s="431"/>
      <c r="R1612" s="28"/>
      <c r="S1612" s="14"/>
      <c r="T1612" s="423"/>
      <c r="U1612" s="14"/>
      <c r="V1612" s="14"/>
      <c r="W1612" s="14"/>
      <c r="X1612" s="14"/>
      <c r="Y1612" s="14"/>
      <c r="Z1612" s="14"/>
    </row>
    <row r="1613" spans="3:26" ht="15" hidden="1" outlineLevel="2">
      <c r="C1613" s="1464"/>
      <c r="D1613" s="1464"/>
      <c r="E1613" s="1466"/>
      <c r="F1613" s="1468"/>
      <c r="G1613" s="343"/>
      <c r="H1613" s="340" t="s">
        <v>4</v>
      </c>
      <c r="I1613" s="341"/>
      <c r="J1613" s="341"/>
      <c r="K1613" s="341"/>
      <c r="L1613" s="341"/>
      <c r="M1613" s="342"/>
      <c r="N1613" s="341"/>
      <c r="O1613" s="338">
        <f t="shared" si="775"/>
        <v>0</v>
      </c>
      <c r="P1613" s="341"/>
      <c r="Q1613" s="431"/>
      <c r="R1613" s="28"/>
      <c r="S1613" s="14"/>
      <c r="T1613" s="423"/>
      <c r="U1613" s="14"/>
      <c r="V1613" s="14"/>
      <c r="W1613" s="14"/>
      <c r="X1613" s="14"/>
      <c r="Y1613" s="14"/>
      <c r="Z1613" s="14"/>
    </row>
    <row r="1614" spans="3:26" ht="15" hidden="1" outlineLevel="2">
      <c r="C1614" s="1464"/>
      <c r="D1614" s="1464"/>
      <c r="E1614" s="1466"/>
      <c r="F1614" s="1468"/>
      <c r="G1614" s="343"/>
      <c r="H1614" s="340" t="s">
        <v>4</v>
      </c>
      <c r="I1614" s="341"/>
      <c r="J1614" s="341"/>
      <c r="K1614" s="341"/>
      <c r="L1614" s="341"/>
      <c r="M1614" s="342"/>
      <c r="N1614" s="341"/>
      <c r="O1614" s="338">
        <f t="shared" si="775"/>
        <v>0</v>
      </c>
      <c r="P1614" s="341"/>
      <c r="Q1614" s="431"/>
      <c r="R1614" s="28"/>
      <c r="S1614" s="14"/>
      <c r="T1614" s="423"/>
      <c r="U1614" s="14"/>
      <c r="V1614" s="14"/>
      <c r="W1614" s="14"/>
      <c r="X1614" s="14"/>
      <c r="Y1614" s="14"/>
      <c r="Z1614" s="14"/>
    </row>
    <row r="1615" spans="3:26" ht="15" hidden="1" outlineLevel="2">
      <c r="C1615" s="1464"/>
      <c r="D1615" s="1464"/>
      <c r="E1615" s="1466"/>
      <c r="F1615" s="1468"/>
      <c r="G1615" s="344"/>
      <c r="H1615" s="340" t="s">
        <v>4</v>
      </c>
      <c r="I1615" s="345"/>
      <c r="J1615" s="345"/>
      <c r="K1615" s="345"/>
      <c r="L1615" s="345"/>
      <c r="M1615" s="346"/>
      <c r="N1615" s="345"/>
      <c r="O1615" s="338">
        <f t="shared" si="775"/>
        <v>0</v>
      </c>
      <c r="P1615" s="345"/>
      <c r="Q1615" s="432"/>
      <c r="R1615" s="28"/>
      <c r="S1615" s="30"/>
      <c r="T1615" s="424"/>
      <c r="U1615" s="30"/>
      <c r="V1615" s="30"/>
      <c r="W1615" s="30"/>
      <c r="X1615" s="30"/>
      <c r="Y1615" s="30"/>
      <c r="Z1615" s="30"/>
    </row>
    <row r="1616" spans="3:26" ht="15" hidden="1" outlineLevel="2">
      <c r="C1616" s="1464"/>
      <c r="D1616" s="1464"/>
      <c r="E1616" s="1466"/>
      <c r="F1616" s="1468"/>
      <c r="G1616" s="343"/>
      <c r="H1616" s="340" t="s">
        <v>4</v>
      </c>
      <c r="I1616" s="341"/>
      <c r="J1616" s="341"/>
      <c r="K1616" s="341"/>
      <c r="L1616" s="341"/>
      <c r="M1616" s="342"/>
      <c r="N1616" s="341"/>
      <c r="O1616" s="338">
        <f t="shared" si="775"/>
        <v>0</v>
      </c>
      <c r="P1616" s="341"/>
      <c r="Q1616" s="431"/>
      <c r="R1616" s="28"/>
      <c r="S1616" s="14"/>
      <c r="T1616" s="423"/>
      <c r="U1616" s="14"/>
      <c r="V1616" s="14"/>
      <c r="W1616" s="14"/>
      <c r="X1616" s="14"/>
      <c r="Y1616" s="14"/>
      <c r="Z1616" s="14"/>
    </row>
    <row r="1617" spans="3:26" ht="15" hidden="1" outlineLevel="2">
      <c r="C1617" s="1464"/>
      <c r="D1617" s="1464"/>
      <c r="E1617" s="1466"/>
      <c r="F1617" s="1468"/>
      <c r="G1617" s="1470" t="s">
        <v>45</v>
      </c>
      <c r="H1617" s="1471"/>
      <c r="I1617" s="347">
        <f>SUM(I1607:I1616)</f>
        <v>0</v>
      </c>
      <c r="J1617" s="347">
        <f t="shared" ref="J1617:K1617" si="781">SUM(J1607:J1616)</f>
        <v>0</v>
      </c>
      <c r="K1617" s="347">
        <f t="shared" si="781"/>
        <v>0</v>
      </c>
      <c r="L1617" s="347">
        <f t="shared" ref="L1617" si="782">SUM(L1607:L1616)</f>
        <v>0</v>
      </c>
      <c r="M1617" s="348"/>
      <c r="N1617" s="347">
        <f>N1607</f>
        <v>0</v>
      </c>
      <c r="O1617" s="349">
        <f t="shared" si="775"/>
        <v>0</v>
      </c>
      <c r="P1617" s="347">
        <f t="shared" ref="P1617:Q1617" si="783">SUM(P1607:P1616)</f>
        <v>0</v>
      </c>
      <c r="Q1617" s="433">
        <f t="shared" si="783"/>
        <v>0</v>
      </c>
      <c r="R1617" s="28"/>
      <c r="S1617" s="14"/>
      <c r="T1617" s="423"/>
      <c r="U1617" s="14"/>
      <c r="V1617" s="14"/>
      <c r="W1617" s="14"/>
      <c r="X1617" s="14"/>
      <c r="Y1617" s="14"/>
      <c r="Z1617" s="14"/>
    </row>
    <row r="1618" spans="3:26" ht="15" hidden="1" outlineLevel="2">
      <c r="C1618" s="1464"/>
      <c r="D1618" s="1464"/>
      <c r="E1618" s="1466"/>
      <c r="F1618" s="1468"/>
      <c r="G1618" s="350"/>
      <c r="H1618" s="335" t="s">
        <v>28</v>
      </c>
      <c r="I1618" s="336"/>
      <c r="J1618" s="336"/>
      <c r="K1618" s="336"/>
      <c r="L1618" s="336"/>
      <c r="M1618" s="337"/>
      <c r="N1618" s="336"/>
      <c r="O1618" s="338">
        <f t="shared" si="775"/>
        <v>0</v>
      </c>
      <c r="P1618" s="336"/>
      <c r="Q1618" s="430"/>
      <c r="R1618" s="28"/>
      <c r="S1618" s="14"/>
      <c r="T1618" s="423"/>
      <c r="U1618" s="14"/>
      <c r="V1618" s="14"/>
      <c r="W1618" s="14"/>
      <c r="X1618" s="14"/>
      <c r="Y1618" s="14"/>
      <c r="Z1618" s="14"/>
    </row>
    <row r="1619" spans="3:26" ht="15" hidden="1" outlineLevel="2">
      <c r="C1619" s="1464"/>
      <c r="D1619" s="1464"/>
      <c r="E1619" s="1466"/>
      <c r="F1619" s="1468"/>
      <c r="G1619" s="343"/>
      <c r="H1619" s="335" t="s">
        <v>28</v>
      </c>
      <c r="I1619" s="341"/>
      <c r="J1619" s="341"/>
      <c r="K1619" s="341"/>
      <c r="L1619" s="341"/>
      <c r="M1619" s="342"/>
      <c r="N1619" s="341"/>
      <c r="O1619" s="338">
        <f t="shared" si="775"/>
        <v>0</v>
      </c>
      <c r="P1619" s="341"/>
      <c r="Q1619" s="431"/>
      <c r="R1619" s="28"/>
      <c r="S1619" s="30"/>
      <c r="T1619" s="424"/>
      <c r="U1619" s="30"/>
      <c r="V1619" s="30"/>
      <c r="W1619" s="30"/>
      <c r="X1619" s="30"/>
      <c r="Y1619" s="30"/>
      <c r="Z1619" s="30"/>
    </row>
    <row r="1620" spans="3:26" ht="15" hidden="1" outlineLevel="2">
      <c r="C1620" s="1464"/>
      <c r="D1620" s="1464"/>
      <c r="E1620" s="1466"/>
      <c r="F1620" s="1468"/>
      <c r="G1620" s="343"/>
      <c r="H1620" s="335" t="s">
        <v>28</v>
      </c>
      <c r="I1620" s="341"/>
      <c r="J1620" s="341"/>
      <c r="K1620" s="341"/>
      <c r="L1620" s="341"/>
      <c r="M1620" s="337"/>
      <c r="N1620" s="341"/>
      <c r="O1620" s="338">
        <f t="shared" si="775"/>
        <v>0</v>
      </c>
      <c r="P1620" s="341"/>
      <c r="Q1620" s="431"/>
      <c r="R1620" s="28"/>
      <c r="S1620" s="14"/>
      <c r="T1620" s="423"/>
      <c r="U1620" s="14"/>
      <c r="V1620" s="14"/>
      <c r="W1620" s="14"/>
      <c r="X1620" s="14"/>
      <c r="Y1620" s="14"/>
      <c r="Z1620" s="14"/>
    </row>
    <row r="1621" spans="3:26" ht="15" hidden="1" outlineLevel="2">
      <c r="C1621" s="1464"/>
      <c r="D1621" s="1464"/>
      <c r="E1621" s="1466"/>
      <c r="F1621" s="1468"/>
      <c r="G1621" s="343"/>
      <c r="H1621" s="335" t="s">
        <v>28</v>
      </c>
      <c r="I1621" s="341"/>
      <c r="J1621" s="341"/>
      <c r="K1621" s="341"/>
      <c r="L1621" s="341"/>
      <c r="M1621" s="342"/>
      <c r="N1621" s="341"/>
      <c r="O1621" s="338">
        <f t="shared" si="775"/>
        <v>0</v>
      </c>
      <c r="P1621" s="341"/>
      <c r="Q1621" s="431"/>
      <c r="R1621" s="28"/>
      <c r="S1621" s="14"/>
      <c r="T1621" s="423"/>
      <c r="U1621" s="14"/>
      <c r="V1621" s="14"/>
      <c r="W1621" s="14"/>
      <c r="X1621" s="14"/>
      <c r="Y1621" s="14"/>
      <c r="Z1621" s="14"/>
    </row>
    <row r="1622" spans="3:26" ht="15" hidden="1" outlineLevel="2">
      <c r="C1622" s="1464"/>
      <c r="D1622" s="1464"/>
      <c r="E1622" s="1466"/>
      <c r="F1622" s="1468"/>
      <c r="G1622" s="343"/>
      <c r="H1622" s="335" t="s">
        <v>28</v>
      </c>
      <c r="I1622" s="341"/>
      <c r="J1622" s="341"/>
      <c r="K1622" s="341"/>
      <c r="L1622" s="341"/>
      <c r="M1622" s="342"/>
      <c r="N1622" s="341"/>
      <c r="O1622" s="338">
        <f t="shared" si="775"/>
        <v>0</v>
      </c>
      <c r="P1622" s="341"/>
      <c r="Q1622" s="431"/>
      <c r="R1622" s="28"/>
      <c r="S1622" s="30"/>
      <c r="T1622" s="424"/>
      <c r="U1622" s="30"/>
      <c r="V1622" s="30"/>
      <c r="W1622" s="30"/>
      <c r="X1622" s="30"/>
      <c r="Y1622" s="30"/>
      <c r="Z1622" s="30"/>
    </row>
    <row r="1623" spans="3:26" ht="15" hidden="1" outlineLevel="2">
      <c r="C1623" s="1464"/>
      <c r="D1623" s="1464"/>
      <c r="E1623" s="1466"/>
      <c r="F1623" s="1468"/>
      <c r="G1623" s="343"/>
      <c r="H1623" s="335" t="s">
        <v>28</v>
      </c>
      <c r="I1623" s="341"/>
      <c r="J1623" s="341"/>
      <c r="K1623" s="341"/>
      <c r="L1623" s="341"/>
      <c r="M1623" s="342"/>
      <c r="N1623" s="341"/>
      <c r="O1623" s="338">
        <f t="shared" si="775"/>
        <v>0</v>
      </c>
      <c r="P1623" s="341"/>
      <c r="Q1623" s="431"/>
      <c r="T1623" s="418"/>
    </row>
    <row r="1624" spans="3:26" ht="15" hidden="1" outlineLevel="2">
      <c r="C1624" s="1464"/>
      <c r="D1624" s="1464"/>
      <c r="E1624" s="1466"/>
      <c r="F1624" s="1468"/>
      <c r="G1624" s="343"/>
      <c r="H1624" s="335" t="s">
        <v>28</v>
      </c>
      <c r="I1624" s="341"/>
      <c r="J1624" s="341"/>
      <c r="K1624" s="341"/>
      <c r="L1624" s="341"/>
      <c r="M1624" s="342"/>
      <c r="N1624" s="341"/>
      <c r="O1624" s="338">
        <f t="shared" si="775"/>
        <v>0</v>
      </c>
      <c r="P1624" s="341"/>
      <c r="Q1624" s="431"/>
      <c r="T1624" s="418"/>
    </row>
    <row r="1625" spans="3:26" ht="15" hidden="1" outlineLevel="2">
      <c r="C1625" s="1464"/>
      <c r="D1625" s="1464"/>
      <c r="E1625" s="1466"/>
      <c r="F1625" s="1468"/>
      <c r="G1625" s="343"/>
      <c r="H1625" s="335" t="s">
        <v>28</v>
      </c>
      <c r="I1625" s="341"/>
      <c r="J1625" s="341"/>
      <c r="K1625" s="341"/>
      <c r="L1625" s="341"/>
      <c r="M1625" s="342"/>
      <c r="N1625" s="341"/>
      <c r="O1625" s="338">
        <f t="shared" si="775"/>
        <v>0</v>
      </c>
      <c r="P1625" s="341"/>
      <c r="Q1625" s="431"/>
      <c r="T1625" s="418"/>
    </row>
    <row r="1626" spans="3:26" ht="15" hidden="1" outlineLevel="2">
      <c r="C1626" s="1464"/>
      <c r="D1626" s="1464"/>
      <c r="E1626" s="1466"/>
      <c r="F1626" s="1468"/>
      <c r="G1626" s="344"/>
      <c r="H1626" s="335" t="s">
        <v>28</v>
      </c>
      <c r="I1626" s="345"/>
      <c r="J1626" s="345"/>
      <c r="K1626" s="345"/>
      <c r="L1626" s="345"/>
      <c r="M1626" s="346"/>
      <c r="N1626" s="345"/>
      <c r="O1626" s="338">
        <f t="shared" si="775"/>
        <v>0</v>
      </c>
      <c r="P1626" s="345"/>
      <c r="Q1626" s="432"/>
      <c r="T1626" s="418"/>
    </row>
    <row r="1627" spans="3:26" ht="15" hidden="1" outlineLevel="2">
      <c r="C1627" s="1464"/>
      <c r="D1627" s="1464"/>
      <c r="E1627" s="1466"/>
      <c r="F1627" s="1468"/>
      <c r="G1627" s="343"/>
      <c r="H1627" s="335" t="s">
        <v>28</v>
      </c>
      <c r="I1627" s="341"/>
      <c r="J1627" s="341"/>
      <c r="K1627" s="341"/>
      <c r="L1627" s="341"/>
      <c r="M1627" s="342"/>
      <c r="N1627" s="341"/>
      <c r="O1627" s="338">
        <f t="shared" si="775"/>
        <v>0</v>
      </c>
      <c r="P1627" s="341"/>
      <c r="Q1627" s="431"/>
      <c r="T1627" s="418"/>
    </row>
    <row r="1628" spans="3:26" ht="15" hidden="1" outlineLevel="2">
      <c r="C1628" s="1464"/>
      <c r="D1628" s="1464"/>
      <c r="E1628" s="1466"/>
      <c r="F1628" s="1468"/>
      <c r="G1628" s="1470" t="s">
        <v>51</v>
      </c>
      <c r="H1628" s="1471"/>
      <c r="I1628" s="347">
        <f>SUM(I1618:I1627)</f>
        <v>0</v>
      </c>
      <c r="J1628" s="347">
        <f t="shared" ref="J1628:K1628" si="784">SUM(J1618:J1627)</f>
        <v>0</v>
      </c>
      <c r="K1628" s="347">
        <f t="shared" si="784"/>
        <v>0</v>
      </c>
      <c r="L1628" s="347">
        <f t="shared" ref="L1628" si="785">SUM(L1618:L1627)</f>
        <v>0</v>
      </c>
      <c r="M1628" s="348"/>
      <c r="N1628" s="347">
        <f>N1618</f>
        <v>0</v>
      </c>
      <c r="O1628" s="349">
        <f t="shared" si="775"/>
        <v>0</v>
      </c>
      <c r="P1628" s="347">
        <f t="shared" ref="P1628:Q1628" si="786">SUM(P1618:P1627)</f>
        <v>0</v>
      </c>
      <c r="Q1628" s="433">
        <f t="shared" si="786"/>
        <v>0</v>
      </c>
      <c r="T1628" s="418"/>
    </row>
    <row r="1629" spans="3:26" ht="15" hidden="1" outlineLevel="2">
      <c r="C1629" s="1464"/>
      <c r="D1629" s="1464"/>
      <c r="E1629" s="1466"/>
      <c r="F1629" s="1468"/>
      <c r="G1629" s="350"/>
      <c r="H1629" s="335" t="s">
        <v>22</v>
      </c>
      <c r="I1629" s="336"/>
      <c r="J1629" s="336"/>
      <c r="K1629" s="336"/>
      <c r="L1629" s="336"/>
      <c r="M1629" s="337"/>
      <c r="N1629" s="336"/>
      <c r="O1629" s="338">
        <f t="shared" si="775"/>
        <v>0</v>
      </c>
      <c r="P1629" s="336"/>
      <c r="Q1629" s="430"/>
      <c r="T1629" s="418"/>
    </row>
    <row r="1630" spans="3:26" ht="15" hidden="1" outlineLevel="2">
      <c r="C1630" s="1464"/>
      <c r="D1630" s="1464"/>
      <c r="E1630" s="1466"/>
      <c r="F1630" s="1468"/>
      <c r="G1630" s="343"/>
      <c r="H1630" s="335" t="s">
        <v>22</v>
      </c>
      <c r="I1630" s="341"/>
      <c r="J1630" s="341"/>
      <c r="K1630" s="341"/>
      <c r="L1630" s="341"/>
      <c r="M1630" s="342"/>
      <c r="N1630" s="341"/>
      <c r="O1630" s="338">
        <f t="shared" si="775"/>
        <v>0</v>
      </c>
      <c r="P1630" s="341"/>
      <c r="Q1630" s="431"/>
      <c r="T1630" s="418"/>
    </row>
    <row r="1631" spans="3:26" ht="15" hidden="1" outlineLevel="2">
      <c r="C1631" s="1464"/>
      <c r="D1631" s="1464"/>
      <c r="E1631" s="1466"/>
      <c r="F1631" s="1468"/>
      <c r="G1631" s="343"/>
      <c r="H1631" s="335" t="s">
        <v>22</v>
      </c>
      <c r="I1631" s="341"/>
      <c r="J1631" s="341"/>
      <c r="K1631" s="341"/>
      <c r="L1631" s="341"/>
      <c r="M1631" s="337"/>
      <c r="N1631" s="341"/>
      <c r="O1631" s="338">
        <f t="shared" si="775"/>
        <v>0</v>
      </c>
      <c r="P1631" s="341"/>
      <c r="Q1631" s="431"/>
      <c r="T1631" s="418"/>
    </row>
    <row r="1632" spans="3:26" ht="15" hidden="1" outlineLevel="2">
      <c r="C1632" s="1464"/>
      <c r="D1632" s="1464"/>
      <c r="E1632" s="1466"/>
      <c r="F1632" s="1468"/>
      <c r="G1632" s="343"/>
      <c r="H1632" s="335" t="s">
        <v>22</v>
      </c>
      <c r="I1632" s="341"/>
      <c r="J1632" s="341"/>
      <c r="K1632" s="341"/>
      <c r="L1632" s="341"/>
      <c r="M1632" s="342"/>
      <c r="N1632" s="341"/>
      <c r="O1632" s="338">
        <f t="shared" si="775"/>
        <v>0</v>
      </c>
      <c r="P1632" s="341"/>
      <c r="Q1632" s="431"/>
      <c r="T1632" s="418"/>
    </row>
    <row r="1633" spans="3:20" ht="15" hidden="1" outlineLevel="2">
      <c r="C1633" s="1464"/>
      <c r="D1633" s="1464"/>
      <c r="E1633" s="1466"/>
      <c r="F1633" s="1468"/>
      <c r="G1633" s="343"/>
      <c r="H1633" s="335" t="s">
        <v>22</v>
      </c>
      <c r="I1633" s="341"/>
      <c r="J1633" s="341"/>
      <c r="K1633" s="341"/>
      <c r="L1633" s="341"/>
      <c r="M1633" s="342"/>
      <c r="N1633" s="341"/>
      <c r="O1633" s="338">
        <f t="shared" si="775"/>
        <v>0</v>
      </c>
      <c r="P1633" s="341"/>
      <c r="Q1633" s="431"/>
      <c r="T1633" s="418"/>
    </row>
    <row r="1634" spans="3:20" ht="15" hidden="1" outlineLevel="2">
      <c r="C1634" s="1464"/>
      <c r="D1634" s="1464"/>
      <c r="E1634" s="1466"/>
      <c r="F1634" s="1468"/>
      <c r="G1634" s="343"/>
      <c r="H1634" s="335" t="s">
        <v>22</v>
      </c>
      <c r="I1634" s="341"/>
      <c r="J1634" s="341"/>
      <c r="K1634" s="341"/>
      <c r="L1634" s="341"/>
      <c r="M1634" s="342"/>
      <c r="N1634" s="341"/>
      <c r="O1634" s="338">
        <f t="shared" si="775"/>
        <v>0</v>
      </c>
      <c r="P1634" s="341"/>
      <c r="Q1634" s="431"/>
      <c r="T1634" s="418"/>
    </row>
    <row r="1635" spans="3:20" ht="15" hidden="1" outlineLevel="2">
      <c r="C1635" s="1464"/>
      <c r="D1635" s="1464"/>
      <c r="E1635" s="1466"/>
      <c r="F1635" s="1468"/>
      <c r="G1635" s="343"/>
      <c r="H1635" s="335" t="s">
        <v>22</v>
      </c>
      <c r="I1635" s="341"/>
      <c r="J1635" s="341"/>
      <c r="K1635" s="341"/>
      <c r="L1635" s="341"/>
      <c r="M1635" s="342"/>
      <c r="N1635" s="341"/>
      <c r="O1635" s="338">
        <f t="shared" si="775"/>
        <v>0</v>
      </c>
      <c r="P1635" s="341"/>
      <c r="Q1635" s="431"/>
      <c r="T1635" s="418"/>
    </row>
    <row r="1636" spans="3:20" ht="15" hidden="1" outlineLevel="2">
      <c r="C1636" s="1464"/>
      <c r="D1636" s="1464"/>
      <c r="E1636" s="1466"/>
      <c r="F1636" s="1468"/>
      <c r="G1636" s="343"/>
      <c r="H1636" s="335" t="s">
        <v>22</v>
      </c>
      <c r="I1636" s="341"/>
      <c r="J1636" s="341"/>
      <c r="K1636" s="341"/>
      <c r="L1636" s="341"/>
      <c r="M1636" s="342"/>
      <c r="N1636" s="341"/>
      <c r="O1636" s="338">
        <f t="shared" si="775"/>
        <v>0</v>
      </c>
      <c r="P1636" s="341"/>
      <c r="Q1636" s="431"/>
      <c r="T1636" s="418"/>
    </row>
    <row r="1637" spans="3:20" ht="15" hidden="1" outlineLevel="2">
      <c r="C1637" s="1464"/>
      <c r="D1637" s="1464"/>
      <c r="E1637" s="1466"/>
      <c r="F1637" s="1468"/>
      <c r="G1637" s="344"/>
      <c r="H1637" s="335" t="s">
        <v>22</v>
      </c>
      <c r="I1637" s="345"/>
      <c r="J1637" s="345"/>
      <c r="K1637" s="345"/>
      <c r="L1637" s="345"/>
      <c r="M1637" s="346"/>
      <c r="N1637" s="345"/>
      <c r="O1637" s="338">
        <f t="shared" si="775"/>
        <v>0</v>
      </c>
      <c r="P1637" s="345"/>
      <c r="Q1637" s="432"/>
      <c r="T1637" s="418"/>
    </row>
    <row r="1638" spans="3:20" ht="15" hidden="1" outlineLevel="2">
      <c r="C1638" s="1464"/>
      <c r="D1638" s="1464"/>
      <c r="E1638" s="1466"/>
      <c r="F1638" s="1468"/>
      <c r="G1638" s="343"/>
      <c r="H1638" s="335" t="s">
        <v>22</v>
      </c>
      <c r="I1638" s="341"/>
      <c r="J1638" s="341"/>
      <c r="K1638" s="341"/>
      <c r="L1638" s="341"/>
      <c r="M1638" s="342"/>
      <c r="N1638" s="341"/>
      <c r="O1638" s="338">
        <f t="shared" si="775"/>
        <v>0</v>
      </c>
      <c r="P1638" s="341"/>
      <c r="Q1638" s="431"/>
      <c r="T1638" s="418"/>
    </row>
    <row r="1639" spans="3:20" ht="15" hidden="1" outlineLevel="2">
      <c r="C1639" s="1464"/>
      <c r="D1639" s="1464"/>
      <c r="E1639" s="1466"/>
      <c r="F1639" s="1468"/>
      <c r="G1639" s="1470" t="s">
        <v>44</v>
      </c>
      <c r="H1639" s="1471"/>
      <c r="I1639" s="347">
        <f>SUM(I1629:I1638)</f>
        <v>0</v>
      </c>
      <c r="J1639" s="347">
        <f t="shared" ref="J1639:K1639" si="787">SUM(J1629:J1638)</f>
        <v>0</v>
      </c>
      <c r="K1639" s="347">
        <f t="shared" si="787"/>
        <v>0</v>
      </c>
      <c r="L1639" s="347">
        <f t="shared" ref="L1639" si="788">SUM(L1629:L1638)</f>
        <v>0</v>
      </c>
      <c r="M1639" s="348"/>
      <c r="N1639" s="347">
        <f>N1629</f>
        <v>0</v>
      </c>
      <c r="O1639" s="349">
        <f t="shared" si="775"/>
        <v>0</v>
      </c>
      <c r="P1639" s="347">
        <f t="shared" ref="P1639:Q1639" si="789">SUM(P1629:P1638)</f>
        <v>0</v>
      </c>
      <c r="Q1639" s="433">
        <f t="shared" si="789"/>
        <v>0</v>
      </c>
      <c r="T1639" s="418"/>
    </row>
    <row r="1640" spans="3:20" ht="15" hidden="1" outlineLevel="1" collapsed="1">
      <c r="C1640" s="1464"/>
      <c r="D1640" s="1464"/>
      <c r="E1640" s="1466"/>
      <c r="F1640" s="1469"/>
      <c r="G1640" s="1470" t="s">
        <v>177</v>
      </c>
      <c r="H1640" s="1471"/>
      <c r="I1640" s="347">
        <f>(I1617/usdrate)+(I1628*jodrate)+I1639</f>
        <v>0</v>
      </c>
      <c r="J1640" s="347">
        <f>(J1617/usdrate)+(J1628*jodrate)+J1639</f>
        <v>0</v>
      </c>
      <c r="K1640" s="347">
        <f>(K1617/usdrate)+(K1628*jodrate)+K1639</f>
        <v>0</v>
      </c>
      <c r="L1640" s="347">
        <f>(L1617/usdrate)+(L1628*jodrate)+L1639</f>
        <v>0</v>
      </c>
      <c r="M1640" s="348"/>
      <c r="N1640" s="347">
        <f>(N1617/usdrate)+(N1628*jodrate)+N1639</f>
        <v>0</v>
      </c>
      <c r="O1640" s="349">
        <f t="shared" si="775"/>
        <v>0</v>
      </c>
      <c r="P1640" s="347">
        <f>(P1617/usdrate)+(P1628*jodrate)+P1639</f>
        <v>0</v>
      </c>
      <c r="Q1640" s="433">
        <f>(Q1617/usdrate)+(Q1628*jodrate)+Q1639</f>
        <v>0</v>
      </c>
      <c r="T1640" s="418"/>
    </row>
    <row r="1641" spans="3:20" ht="15" hidden="1" outlineLevel="2">
      <c r="C1641" s="1464"/>
      <c r="D1641" s="1464"/>
      <c r="E1641" s="1466"/>
      <c r="F1641" s="1472" t="s">
        <v>172</v>
      </c>
      <c r="G1641" s="350"/>
      <c r="H1641" s="335" t="s">
        <v>28</v>
      </c>
      <c r="I1641" s="336"/>
      <c r="J1641" s="336"/>
      <c r="K1641" s="336"/>
      <c r="L1641" s="336"/>
      <c r="M1641" s="337"/>
      <c r="N1641" s="336"/>
      <c r="O1641" s="338">
        <f t="shared" ref="O1641:O1663" si="790">IF(N1641=0,0,N1641/I1641)</f>
        <v>0</v>
      </c>
      <c r="P1641" s="336"/>
      <c r="Q1641" s="430"/>
      <c r="T1641" s="418"/>
    </row>
    <row r="1642" spans="3:20" ht="15" hidden="1" outlineLevel="2">
      <c r="C1642" s="1464"/>
      <c r="D1642" s="1464"/>
      <c r="E1642" s="1466"/>
      <c r="F1642" s="1468"/>
      <c r="G1642" s="343"/>
      <c r="H1642" s="335" t="s">
        <v>28</v>
      </c>
      <c r="I1642" s="341"/>
      <c r="J1642" s="341"/>
      <c r="K1642" s="341"/>
      <c r="L1642" s="341"/>
      <c r="M1642" s="342"/>
      <c r="N1642" s="341"/>
      <c r="O1642" s="338">
        <f t="shared" si="790"/>
        <v>0</v>
      </c>
      <c r="P1642" s="341"/>
      <c r="Q1642" s="431"/>
      <c r="T1642" s="418"/>
    </row>
    <row r="1643" spans="3:20" ht="15" hidden="1" outlineLevel="2">
      <c r="C1643" s="1464"/>
      <c r="D1643" s="1464"/>
      <c r="E1643" s="1466"/>
      <c r="F1643" s="1468"/>
      <c r="G1643" s="343"/>
      <c r="H1643" s="335" t="s">
        <v>28</v>
      </c>
      <c r="I1643" s="341"/>
      <c r="J1643" s="341"/>
      <c r="K1643" s="341"/>
      <c r="L1643" s="341"/>
      <c r="M1643" s="337"/>
      <c r="N1643" s="341"/>
      <c r="O1643" s="338">
        <f t="shared" si="790"/>
        <v>0</v>
      </c>
      <c r="P1643" s="341"/>
      <c r="Q1643" s="431"/>
      <c r="T1643" s="418"/>
    </row>
    <row r="1644" spans="3:20" ht="15" hidden="1" outlineLevel="2">
      <c r="C1644" s="1464"/>
      <c r="D1644" s="1464"/>
      <c r="E1644" s="1466"/>
      <c r="F1644" s="1468"/>
      <c r="G1644" s="343"/>
      <c r="H1644" s="335" t="s">
        <v>28</v>
      </c>
      <c r="I1644" s="341"/>
      <c r="J1644" s="341"/>
      <c r="K1644" s="341"/>
      <c r="L1644" s="341"/>
      <c r="M1644" s="342"/>
      <c r="N1644" s="341"/>
      <c r="O1644" s="338">
        <f t="shared" si="790"/>
        <v>0</v>
      </c>
      <c r="P1644" s="341"/>
      <c r="Q1644" s="431"/>
      <c r="T1644" s="418"/>
    </row>
    <row r="1645" spans="3:20" ht="15" hidden="1" outlineLevel="2">
      <c r="C1645" s="1464"/>
      <c r="D1645" s="1464"/>
      <c r="E1645" s="1466"/>
      <c r="F1645" s="1468"/>
      <c r="G1645" s="343"/>
      <c r="H1645" s="335" t="s">
        <v>28</v>
      </c>
      <c r="I1645" s="341"/>
      <c r="J1645" s="341"/>
      <c r="K1645" s="341"/>
      <c r="L1645" s="341"/>
      <c r="M1645" s="342"/>
      <c r="N1645" s="341"/>
      <c r="O1645" s="338">
        <f t="shared" si="790"/>
        <v>0</v>
      </c>
      <c r="P1645" s="341"/>
      <c r="Q1645" s="431"/>
      <c r="T1645" s="418"/>
    </row>
    <row r="1646" spans="3:20" ht="15" hidden="1" outlineLevel="2">
      <c r="C1646" s="1464"/>
      <c r="D1646" s="1464"/>
      <c r="E1646" s="1466"/>
      <c r="F1646" s="1468"/>
      <c r="G1646" s="343"/>
      <c r="H1646" s="335" t="s">
        <v>28</v>
      </c>
      <c r="I1646" s="341"/>
      <c r="J1646" s="341"/>
      <c r="K1646" s="341"/>
      <c r="L1646" s="341"/>
      <c r="M1646" s="342"/>
      <c r="N1646" s="341"/>
      <c r="O1646" s="338">
        <f t="shared" si="790"/>
        <v>0</v>
      </c>
      <c r="P1646" s="341"/>
      <c r="Q1646" s="431"/>
      <c r="T1646" s="418"/>
    </row>
    <row r="1647" spans="3:20" ht="15" hidden="1" outlineLevel="2">
      <c r="C1647" s="1464"/>
      <c r="D1647" s="1464"/>
      <c r="E1647" s="1466"/>
      <c r="F1647" s="1468"/>
      <c r="G1647" s="343"/>
      <c r="H1647" s="335" t="s">
        <v>28</v>
      </c>
      <c r="I1647" s="341"/>
      <c r="J1647" s="341"/>
      <c r="K1647" s="341"/>
      <c r="L1647" s="341"/>
      <c r="M1647" s="342"/>
      <c r="N1647" s="341"/>
      <c r="O1647" s="338">
        <f t="shared" si="790"/>
        <v>0</v>
      </c>
      <c r="P1647" s="341"/>
      <c r="Q1647" s="431"/>
      <c r="T1647" s="418"/>
    </row>
    <row r="1648" spans="3:20" ht="15" hidden="1" outlineLevel="2">
      <c r="C1648" s="1464"/>
      <c r="D1648" s="1464"/>
      <c r="E1648" s="1466"/>
      <c r="F1648" s="1468"/>
      <c r="G1648" s="343"/>
      <c r="H1648" s="335" t="s">
        <v>28</v>
      </c>
      <c r="I1648" s="341"/>
      <c r="J1648" s="341"/>
      <c r="K1648" s="341"/>
      <c r="L1648" s="341"/>
      <c r="M1648" s="342"/>
      <c r="N1648" s="341"/>
      <c r="O1648" s="338">
        <f t="shared" si="790"/>
        <v>0</v>
      </c>
      <c r="P1648" s="341"/>
      <c r="Q1648" s="431"/>
      <c r="T1648" s="418"/>
    </row>
    <row r="1649" spans="3:20" ht="15" hidden="1" outlineLevel="2">
      <c r="C1649" s="1464"/>
      <c r="D1649" s="1464"/>
      <c r="E1649" s="1466"/>
      <c r="F1649" s="1468"/>
      <c r="G1649" s="344"/>
      <c r="H1649" s="335" t="s">
        <v>28</v>
      </c>
      <c r="I1649" s="345"/>
      <c r="J1649" s="345"/>
      <c r="K1649" s="345"/>
      <c r="L1649" s="345"/>
      <c r="M1649" s="346"/>
      <c r="N1649" s="345"/>
      <c r="O1649" s="338">
        <f t="shared" si="790"/>
        <v>0</v>
      </c>
      <c r="P1649" s="345"/>
      <c r="Q1649" s="432"/>
      <c r="T1649" s="418"/>
    </row>
    <row r="1650" spans="3:20" ht="15" hidden="1" outlineLevel="2">
      <c r="C1650" s="1464"/>
      <c r="D1650" s="1464"/>
      <c r="E1650" s="1466"/>
      <c r="F1650" s="1468"/>
      <c r="G1650" s="343"/>
      <c r="H1650" s="335" t="s">
        <v>28</v>
      </c>
      <c r="I1650" s="341"/>
      <c r="J1650" s="341"/>
      <c r="K1650" s="341"/>
      <c r="L1650" s="341"/>
      <c r="M1650" s="342"/>
      <c r="N1650" s="341"/>
      <c r="O1650" s="338">
        <f t="shared" si="790"/>
        <v>0</v>
      </c>
      <c r="P1650" s="341"/>
      <c r="Q1650" s="431"/>
      <c r="T1650" s="418"/>
    </row>
    <row r="1651" spans="3:20" ht="15" hidden="1" outlineLevel="2">
      <c r="C1651" s="1464"/>
      <c r="D1651" s="1464"/>
      <c r="E1651" s="1466"/>
      <c r="F1651" s="1468"/>
      <c r="G1651" s="1470" t="s">
        <v>51</v>
      </c>
      <c r="H1651" s="1471"/>
      <c r="I1651" s="347">
        <f>SUM(I1641:I1650)</f>
        <v>0</v>
      </c>
      <c r="J1651" s="347">
        <f t="shared" ref="J1651:K1651" si="791">SUM(J1641:J1650)</f>
        <v>0</v>
      </c>
      <c r="K1651" s="347">
        <f t="shared" si="791"/>
        <v>0</v>
      </c>
      <c r="L1651" s="347">
        <f t="shared" ref="L1651" si="792">SUM(L1641:L1650)</f>
        <v>0</v>
      </c>
      <c r="M1651" s="348"/>
      <c r="N1651" s="347">
        <f>N1641</f>
        <v>0</v>
      </c>
      <c r="O1651" s="349">
        <f t="shared" si="790"/>
        <v>0</v>
      </c>
      <c r="P1651" s="347">
        <f t="shared" ref="P1651:Q1651" si="793">SUM(P1641:P1650)</f>
        <v>0</v>
      </c>
      <c r="Q1651" s="433">
        <f t="shared" si="793"/>
        <v>0</v>
      </c>
      <c r="T1651" s="418"/>
    </row>
    <row r="1652" spans="3:20" ht="15" hidden="1" outlineLevel="2">
      <c r="C1652" s="1464"/>
      <c r="D1652" s="1464"/>
      <c r="E1652" s="1466"/>
      <c r="F1652" s="1468"/>
      <c r="G1652" s="350"/>
      <c r="H1652" s="335" t="s">
        <v>22</v>
      </c>
      <c r="I1652" s="336"/>
      <c r="J1652" s="336"/>
      <c r="K1652" s="336"/>
      <c r="L1652" s="336"/>
      <c r="M1652" s="337"/>
      <c r="N1652" s="336"/>
      <c r="O1652" s="338">
        <f t="shared" si="790"/>
        <v>0</v>
      </c>
      <c r="P1652" s="336"/>
      <c r="Q1652" s="430"/>
      <c r="T1652" s="418"/>
    </row>
    <row r="1653" spans="3:20" ht="15" hidden="1" outlineLevel="2">
      <c r="C1653" s="1464"/>
      <c r="D1653" s="1464"/>
      <c r="E1653" s="1466"/>
      <c r="F1653" s="1468"/>
      <c r="G1653" s="343"/>
      <c r="H1653" s="335" t="s">
        <v>22</v>
      </c>
      <c r="I1653" s="341"/>
      <c r="J1653" s="341"/>
      <c r="K1653" s="341"/>
      <c r="L1653" s="341"/>
      <c r="M1653" s="342"/>
      <c r="N1653" s="341"/>
      <c r="O1653" s="338">
        <f t="shared" si="790"/>
        <v>0</v>
      </c>
      <c r="P1653" s="341"/>
      <c r="Q1653" s="431"/>
      <c r="T1653" s="418"/>
    </row>
    <row r="1654" spans="3:20" ht="15" hidden="1" outlineLevel="2">
      <c r="C1654" s="1464"/>
      <c r="D1654" s="1464"/>
      <c r="E1654" s="1466"/>
      <c r="F1654" s="1468"/>
      <c r="G1654" s="343"/>
      <c r="H1654" s="335" t="s">
        <v>22</v>
      </c>
      <c r="I1654" s="341"/>
      <c r="J1654" s="341"/>
      <c r="K1654" s="341"/>
      <c r="L1654" s="341"/>
      <c r="M1654" s="337"/>
      <c r="N1654" s="341"/>
      <c r="O1654" s="338">
        <f t="shared" si="790"/>
        <v>0</v>
      </c>
      <c r="P1654" s="341"/>
      <c r="Q1654" s="431"/>
      <c r="T1654" s="418"/>
    </row>
    <row r="1655" spans="3:20" ht="15" hidden="1" outlineLevel="2">
      <c r="C1655" s="1464"/>
      <c r="D1655" s="1464"/>
      <c r="E1655" s="1466"/>
      <c r="F1655" s="1468"/>
      <c r="G1655" s="343"/>
      <c r="H1655" s="335" t="s">
        <v>22</v>
      </c>
      <c r="I1655" s="341"/>
      <c r="J1655" s="341"/>
      <c r="K1655" s="341"/>
      <c r="L1655" s="341"/>
      <c r="M1655" s="342"/>
      <c r="N1655" s="341"/>
      <c r="O1655" s="338">
        <f t="shared" si="790"/>
        <v>0</v>
      </c>
      <c r="P1655" s="341"/>
      <c r="Q1655" s="431"/>
      <c r="T1655" s="418"/>
    </row>
    <row r="1656" spans="3:20" ht="15" hidden="1" outlineLevel="2">
      <c r="C1656" s="1464"/>
      <c r="D1656" s="1464"/>
      <c r="E1656" s="1466"/>
      <c r="F1656" s="1468"/>
      <c r="G1656" s="343"/>
      <c r="H1656" s="335" t="s">
        <v>22</v>
      </c>
      <c r="I1656" s="341"/>
      <c r="J1656" s="341"/>
      <c r="K1656" s="341"/>
      <c r="L1656" s="341"/>
      <c r="M1656" s="342"/>
      <c r="N1656" s="341"/>
      <c r="O1656" s="338">
        <f t="shared" si="790"/>
        <v>0</v>
      </c>
      <c r="P1656" s="341"/>
      <c r="Q1656" s="431"/>
      <c r="T1656" s="418"/>
    </row>
    <row r="1657" spans="3:20" ht="15" hidden="1" outlineLevel="2">
      <c r="C1657" s="1464"/>
      <c r="D1657" s="1464"/>
      <c r="E1657" s="1466"/>
      <c r="F1657" s="1468"/>
      <c r="G1657" s="343"/>
      <c r="H1657" s="335" t="s">
        <v>22</v>
      </c>
      <c r="I1657" s="341"/>
      <c r="J1657" s="341"/>
      <c r="K1657" s="341"/>
      <c r="L1657" s="341"/>
      <c r="M1657" s="342"/>
      <c r="N1657" s="341"/>
      <c r="O1657" s="338">
        <f t="shared" si="790"/>
        <v>0</v>
      </c>
      <c r="P1657" s="341"/>
      <c r="Q1657" s="431"/>
      <c r="T1657" s="418"/>
    </row>
    <row r="1658" spans="3:20" ht="15" hidden="1" outlineLevel="2">
      <c r="C1658" s="1464"/>
      <c r="D1658" s="1464"/>
      <c r="E1658" s="1466"/>
      <c r="F1658" s="1468"/>
      <c r="G1658" s="343"/>
      <c r="H1658" s="335" t="s">
        <v>22</v>
      </c>
      <c r="I1658" s="341"/>
      <c r="J1658" s="341"/>
      <c r="K1658" s="341"/>
      <c r="L1658" s="341"/>
      <c r="M1658" s="342"/>
      <c r="N1658" s="341"/>
      <c r="O1658" s="338">
        <f t="shared" si="790"/>
        <v>0</v>
      </c>
      <c r="P1658" s="341"/>
      <c r="Q1658" s="431"/>
      <c r="T1658" s="418"/>
    </row>
    <row r="1659" spans="3:20" ht="15" hidden="1" outlineLevel="2">
      <c r="C1659" s="1464"/>
      <c r="D1659" s="1464"/>
      <c r="E1659" s="1466"/>
      <c r="F1659" s="1468"/>
      <c r="G1659" s="343"/>
      <c r="H1659" s="335" t="s">
        <v>22</v>
      </c>
      <c r="I1659" s="341"/>
      <c r="J1659" s="341"/>
      <c r="K1659" s="341"/>
      <c r="L1659" s="341"/>
      <c r="M1659" s="342"/>
      <c r="N1659" s="341"/>
      <c r="O1659" s="338">
        <f t="shared" si="790"/>
        <v>0</v>
      </c>
      <c r="P1659" s="341"/>
      <c r="Q1659" s="431"/>
      <c r="T1659" s="418"/>
    </row>
    <row r="1660" spans="3:20" ht="15" hidden="1" outlineLevel="2">
      <c r="C1660" s="1464"/>
      <c r="D1660" s="1464"/>
      <c r="E1660" s="1466"/>
      <c r="F1660" s="1468"/>
      <c r="G1660" s="344"/>
      <c r="H1660" s="335" t="s">
        <v>22</v>
      </c>
      <c r="I1660" s="345"/>
      <c r="J1660" s="345"/>
      <c r="K1660" s="345"/>
      <c r="L1660" s="345"/>
      <c r="M1660" s="346"/>
      <c r="N1660" s="345"/>
      <c r="O1660" s="338">
        <f t="shared" si="790"/>
        <v>0</v>
      </c>
      <c r="P1660" s="345"/>
      <c r="Q1660" s="432"/>
      <c r="T1660" s="418"/>
    </row>
    <row r="1661" spans="3:20" ht="15" hidden="1" outlineLevel="2">
      <c r="C1661" s="1464"/>
      <c r="D1661" s="1464"/>
      <c r="E1661" s="1466"/>
      <c r="F1661" s="1468"/>
      <c r="G1661" s="343"/>
      <c r="H1661" s="335" t="s">
        <v>22</v>
      </c>
      <c r="I1661" s="341"/>
      <c r="J1661" s="341"/>
      <c r="K1661" s="341"/>
      <c r="L1661" s="341"/>
      <c r="M1661" s="342"/>
      <c r="N1661" s="341"/>
      <c r="O1661" s="338">
        <f t="shared" si="790"/>
        <v>0</v>
      </c>
      <c r="P1661" s="341"/>
      <c r="Q1661" s="431"/>
      <c r="T1661" s="418"/>
    </row>
    <row r="1662" spans="3:20" ht="15" hidden="1" outlineLevel="2">
      <c r="C1662" s="1464"/>
      <c r="D1662" s="1464"/>
      <c r="E1662" s="1466"/>
      <c r="F1662" s="1468"/>
      <c r="G1662" s="1470" t="s">
        <v>44</v>
      </c>
      <c r="H1662" s="1471"/>
      <c r="I1662" s="347">
        <f>SUM(I1652:I1661)</f>
        <v>0</v>
      </c>
      <c r="J1662" s="347">
        <f t="shared" ref="J1662:K1662" si="794">SUM(J1652:J1661)</f>
        <v>0</v>
      </c>
      <c r="K1662" s="347">
        <f t="shared" si="794"/>
        <v>0</v>
      </c>
      <c r="L1662" s="347">
        <f t="shared" ref="L1662" si="795">SUM(L1652:L1661)</f>
        <v>0</v>
      </c>
      <c r="M1662" s="348"/>
      <c r="N1662" s="347">
        <f>N1652</f>
        <v>0</v>
      </c>
      <c r="O1662" s="349">
        <f t="shared" si="790"/>
        <v>0</v>
      </c>
      <c r="P1662" s="347">
        <f t="shared" ref="P1662:Q1662" si="796">SUM(P1652:P1661)</f>
        <v>0</v>
      </c>
      <c r="Q1662" s="433">
        <f t="shared" si="796"/>
        <v>0</v>
      </c>
      <c r="T1662" s="418"/>
    </row>
    <row r="1663" spans="3:20" ht="15" hidden="1" outlineLevel="1" collapsed="1">
      <c r="C1663" s="1464"/>
      <c r="D1663" s="1464"/>
      <c r="E1663" s="1466"/>
      <c r="F1663" s="1469"/>
      <c r="G1663" s="1470" t="s">
        <v>177</v>
      </c>
      <c r="H1663" s="1471"/>
      <c r="I1663" s="347">
        <f>(I1651*jodrate)+I1662</f>
        <v>0</v>
      </c>
      <c r="J1663" s="347">
        <f>(J1651*jodrate)+J1662</f>
        <v>0</v>
      </c>
      <c r="K1663" s="347">
        <f>(K1651*jodrate)+K1662</f>
        <v>0</v>
      </c>
      <c r="L1663" s="347">
        <f>(L1651*jodrate)+L1662</f>
        <v>0</v>
      </c>
      <c r="M1663" s="348"/>
      <c r="N1663" s="347">
        <f>(N1651*jodrate)+N1662</f>
        <v>0</v>
      </c>
      <c r="O1663" s="349">
        <f t="shared" si="790"/>
        <v>0</v>
      </c>
      <c r="P1663" s="347">
        <f>(P1651*jodrate)+P1662</f>
        <v>0</v>
      </c>
      <c r="Q1663" s="433">
        <f>(Q1651*jodrate)+Q1662</f>
        <v>0</v>
      </c>
      <c r="T1663" s="418"/>
    </row>
    <row r="1664" spans="3:20" ht="15.75" collapsed="1" thickTop="1">
      <c r="C1664" s="1464"/>
      <c r="D1664" s="1464"/>
      <c r="E1664" s="1467"/>
      <c r="F1664" s="1473" t="s">
        <v>175</v>
      </c>
      <c r="G1664" s="1474"/>
      <c r="H1664" s="1474"/>
      <c r="I1664" s="355">
        <f>I1572+I1606+I1640+I1663</f>
        <v>0</v>
      </c>
      <c r="J1664" s="355">
        <f t="shared" ref="J1664:K1664" si="797">J1572+J1606+J1640+J1663</f>
        <v>0</v>
      </c>
      <c r="K1664" s="355">
        <f t="shared" si="797"/>
        <v>0</v>
      </c>
      <c r="L1664" s="355">
        <f t="shared" ref="L1664" si="798">L1572+L1606+L1640+L1663</f>
        <v>0</v>
      </c>
      <c r="M1664" s="355"/>
      <c r="N1664" s="355">
        <f t="shared" ref="N1664" si="799">N1572+N1606+N1640+N1663</f>
        <v>0</v>
      </c>
      <c r="O1664" s="356">
        <f t="shared" ref="O1664:O1727" si="800">IF(N1664=0,0,N1664/J1664)</f>
        <v>0</v>
      </c>
      <c r="P1664" s="355">
        <f t="shared" ref="P1664:Q1664" si="801">P1572+P1606+P1640+P1663</f>
        <v>0</v>
      </c>
      <c r="Q1664" s="434">
        <f t="shared" si="801"/>
        <v>0</v>
      </c>
      <c r="T1664" s="418">
        <f>IF(H1539="USD",I1539*R1539,IF(H1539="ILS",(I1539*R1539/usdrate),IF(H1539="JOD",(I1539*R1539*jodrate),"")))</f>
        <v>0</v>
      </c>
    </row>
    <row r="1665" spans="3:20" ht="15" hidden="1" outlineLevel="2">
      <c r="C1665" s="1464"/>
      <c r="D1665" s="1464"/>
      <c r="E1665" s="1458" t="s">
        <v>168</v>
      </c>
      <c r="F1665" s="1461" t="s">
        <v>173</v>
      </c>
      <c r="G1665" s="350"/>
      <c r="H1665" s="335" t="s">
        <v>4</v>
      </c>
      <c r="I1665" s="336"/>
      <c r="J1665" s="336">
        <f>I1665</f>
        <v>0</v>
      </c>
      <c r="K1665" s="336">
        <v>0</v>
      </c>
      <c r="L1665" s="336">
        <v>0</v>
      </c>
      <c r="M1665" s="337"/>
      <c r="N1665" s="336"/>
      <c r="O1665" s="338">
        <f t="shared" si="800"/>
        <v>0</v>
      </c>
      <c r="P1665" s="336">
        <f t="shared" ref="P1665:Q1668" si="802">O1665</f>
        <v>0</v>
      </c>
      <c r="Q1665" s="430">
        <f t="shared" si="802"/>
        <v>0</v>
      </c>
      <c r="T1665" s="418"/>
    </row>
    <row r="1666" spans="3:20" ht="15" hidden="1" outlineLevel="2">
      <c r="C1666" s="1464"/>
      <c r="D1666" s="1464"/>
      <c r="E1666" s="1459"/>
      <c r="F1666" s="1462"/>
      <c r="G1666" s="343"/>
      <c r="H1666" s="340" t="s">
        <v>4</v>
      </c>
      <c r="I1666" s="341"/>
      <c r="J1666" s="336">
        <f>I1666</f>
        <v>0</v>
      </c>
      <c r="K1666" s="341">
        <v>0</v>
      </c>
      <c r="L1666" s="341">
        <v>0</v>
      </c>
      <c r="M1666" s="342"/>
      <c r="N1666" s="341"/>
      <c r="O1666" s="338">
        <f t="shared" si="800"/>
        <v>0</v>
      </c>
      <c r="P1666" s="336">
        <f t="shared" si="802"/>
        <v>0</v>
      </c>
      <c r="Q1666" s="430">
        <f t="shared" si="802"/>
        <v>0</v>
      </c>
      <c r="T1666" s="418"/>
    </row>
    <row r="1667" spans="3:20" ht="15" hidden="1" outlineLevel="2">
      <c r="C1667" s="1464"/>
      <c r="D1667" s="1464"/>
      <c r="E1667" s="1459"/>
      <c r="F1667" s="1462"/>
      <c r="G1667" s="343"/>
      <c r="H1667" s="340" t="s">
        <v>4</v>
      </c>
      <c r="I1667" s="341"/>
      <c r="J1667" s="336">
        <f>I1667</f>
        <v>0</v>
      </c>
      <c r="K1667" s="341">
        <v>0</v>
      </c>
      <c r="L1667" s="341">
        <v>0</v>
      </c>
      <c r="M1667" s="342"/>
      <c r="N1667" s="341"/>
      <c r="O1667" s="338">
        <f t="shared" si="800"/>
        <v>0</v>
      </c>
      <c r="P1667" s="336">
        <f t="shared" si="802"/>
        <v>0</v>
      </c>
      <c r="Q1667" s="430">
        <f t="shared" si="802"/>
        <v>0</v>
      </c>
      <c r="T1667" s="418"/>
    </row>
    <row r="1668" spans="3:20" ht="15" hidden="1" outlineLevel="2">
      <c r="C1668" s="1464"/>
      <c r="D1668" s="1464"/>
      <c r="E1668" s="1459"/>
      <c r="F1668" s="1462"/>
      <c r="G1668" s="343"/>
      <c r="H1668" s="340" t="s">
        <v>4</v>
      </c>
      <c r="I1668" s="341"/>
      <c r="J1668" s="336">
        <f>I1668</f>
        <v>0</v>
      </c>
      <c r="K1668" s="341">
        <v>0</v>
      </c>
      <c r="L1668" s="341">
        <v>0</v>
      </c>
      <c r="M1668" s="342"/>
      <c r="N1668" s="341"/>
      <c r="O1668" s="357">
        <f t="shared" si="800"/>
        <v>0</v>
      </c>
      <c r="P1668" s="336">
        <f t="shared" si="802"/>
        <v>0</v>
      </c>
      <c r="Q1668" s="430">
        <f t="shared" si="802"/>
        <v>0</v>
      </c>
      <c r="T1668" s="418"/>
    </row>
    <row r="1669" spans="3:20" ht="15" hidden="1" outlineLevel="2">
      <c r="C1669" s="1464"/>
      <c r="D1669" s="1464"/>
      <c r="E1669" s="1459"/>
      <c r="F1669" s="1462"/>
      <c r="G1669" s="343"/>
      <c r="H1669" s="340" t="s">
        <v>4</v>
      </c>
      <c r="I1669" s="341"/>
      <c r="J1669" s="336">
        <f t="shared" ref="J1669:J1692" si="803">I1669</f>
        <v>0</v>
      </c>
      <c r="K1669" s="341">
        <v>0</v>
      </c>
      <c r="L1669" s="341">
        <v>0</v>
      </c>
      <c r="M1669" s="342"/>
      <c r="N1669" s="341"/>
      <c r="O1669" s="358">
        <f t="shared" si="800"/>
        <v>0</v>
      </c>
      <c r="P1669" s="336">
        <f t="shared" ref="P1669:Q1692" si="804">O1669</f>
        <v>0</v>
      </c>
      <c r="Q1669" s="430">
        <f t="shared" si="804"/>
        <v>0</v>
      </c>
      <c r="T1669" s="418"/>
    </row>
    <row r="1670" spans="3:20" ht="15" hidden="1" outlineLevel="2">
      <c r="C1670" s="1464"/>
      <c r="D1670" s="1464"/>
      <c r="E1670" s="1459"/>
      <c r="F1670" s="1462"/>
      <c r="G1670" s="343"/>
      <c r="H1670" s="340" t="s">
        <v>4</v>
      </c>
      <c r="I1670" s="341"/>
      <c r="J1670" s="336">
        <f t="shared" si="803"/>
        <v>0</v>
      </c>
      <c r="K1670" s="341">
        <v>0</v>
      </c>
      <c r="L1670" s="341">
        <v>0</v>
      </c>
      <c r="M1670" s="342"/>
      <c r="N1670" s="341"/>
      <c r="O1670" s="338">
        <f t="shared" si="800"/>
        <v>0</v>
      </c>
      <c r="P1670" s="336">
        <f t="shared" si="804"/>
        <v>0</v>
      </c>
      <c r="Q1670" s="430">
        <f t="shared" si="804"/>
        <v>0</v>
      </c>
      <c r="T1670" s="418"/>
    </row>
    <row r="1671" spans="3:20" ht="15" hidden="1" outlineLevel="2">
      <c r="C1671" s="1464"/>
      <c r="D1671" s="1464"/>
      <c r="E1671" s="1459"/>
      <c r="F1671" s="1462"/>
      <c r="G1671" s="343"/>
      <c r="H1671" s="340" t="s">
        <v>4</v>
      </c>
      <c r="I1671" s="341"/>
      <c r="J1671" s="336">
        <f t="shared" si="803"/>
        <v>0</v>
      </c>
      <c r="K1671" s="341">
        <v>0</v>
      </c>
      <c r="L1671" s="341">
        <v>0</v>
      </c>
      <c r="M1671" s="342"/>
      <c r="N1671" s="341"/>
      <c r="O1671" s="338">
        <f t="shared" si="800"/>
        <v>0</v>
      </c>
      <c r="P1671" s="336">
        <f t="shared" si="804"/>
        <v>0</v>
      </c>
      <c r="Q1671" s="430">
        <f t="shared" si="804"/>
        <v>0</v>
      </c>
      <c r="T1671" s="418"/>
    </row>
    <row r="1672" spans="3:20" ht="15" hidden="1" outlineLevel="2">
      <c r="C1672" s="1464"/>
      <c r="D1672" s="1464"/>
      <c r="E1672" s="1459"/>
      <c r="F1672" s="1462"/>
      <c r="G1672" s="343"/>
      <c r="H1672" s="340" t="s">
        <v>4</v>
      </c>
      <c r="I1672" s="341"/>
      <c r="J1672" s="336">
        <f t="shared" si="803"/>
        <v>0</v>
      </c>
      <c r="K1672" s="341">
        <v>0</v>
      </c>
      <c r="L1672" s="341">
        <v>0</v>
      </c>
      <c r="M1672" s="342"/>
      <c r="N1672" s="341"/>
      <c r="O1672" s="338">
        <f t="shared" si="800"/>
        <v>0</v>
      </c>
      <c r="P1672" s="336">
        <f t="shared" si="804"/>
        <v>0</v>
      </c>
      <c r="Q1672" s="430">
        <f t="shared" si="804"/>
        <v>0</v>
      </c>
      <c r="T1672" s="418"/>
    </row>
    <row r="1673" spans="3:20" ht="15" hidden="1" outlineLevel="2">
      <c r="C1673" s="1464"/>
      <c r="D1673" s="1464"/>
      <c r="E1673" s="1459"/>
      <c r="F1673" s="1462"/>
      <c r="G1673" s="343"/>
      <c r="H1673" s="340" t="s">
        <v>4</v>
      </c>
      <c r="I1673" s="341"/>
      <c r="J1673" s="336">
        <f t="shared" si="803"/>
        <v>0</v>
      </c>
      <c r="K1673" s="341">
        <v>0</v>
      </c>
      <c r="L1673" s="341">
        <v>0</v>
      </c>
      <c r="M1673" s="342"/>
      <c r="N1673" s="341"/>
      <c r="O1673" s="338">
        <f t="shared" si="800"/>
        <v>0</v>
      </c>
      <c r="P1673" s="336">
        <f t="shared" si="804"/>
        <v>0</v>
      </c>
      <c r="Q1673" s="430">
        <f t="shared" si="804"/>
        <v>0</v>
      </c>
      <c r="T1673" s="418"/>
    </row>
    <row r="1674" spans="3:20" ht="15" hidden="1" outlineLevel="2">
      <c r="C1674" s="1464"/>
      <c r="D1674" s="1464"/>
      <c r="E1674" s="1459"/>
      <c r="F1674" s="1462"/>
      <c r="G1674" s="343"/>
      <c r="H1674" s="340" t="s">
        <v>4</v>
      </c>
      <c r="I1674" s="341"/>
      <c r="J1674" s="336">
        <f t="shared" si="803"/>
        <v>0</v>
      </c>
      <c r="K1674" s="341">
        <v>0</v>
      </c>
      <c r="L1674" s="341">
        <v>0</v>
      </c>
      <c r="M1674" s="342"/>
      <c r="N1674" s="341"/>
      <c r="O1674" s="338">
        <f t="shared" si="800"/>
        <v>0</v>
      </c>
      <c r="P1674" s="336">
        <f t="shared" si="804"/>
        <v>0</v>
      </c>
      <c r="Q1674" s="430">
        <f t="shared" si="804"/>
        <v>0</v>
      </c>
      <c r="T1674" s="418"/>
    </row>
    <row r="1675" spans="3:20" ht="15" hidden="1" outlineLevel="2">
      <c r="C1675" s="1464"/>
      <c r="D1675" s="1464"/>
      <c r="E1675" s="1459"/>
      <c r="F1675" s="1462"/>
      <c r="G1675" s="343"/>
      <c r="H1675" s="340" t="s">
        <v>4</v>
      </c>
      <c r="I1675" s="341"/>
      <c r="J1675" s="336">
        <f t="shared" si="803"/>
        <v>0</v>
      </c>
      <c r="K1675" s="341">
        <v>0</v>
      </c>
      <c r="L1675" s="341">
        <v>0</v>
      </c>
      <c r="M1675" s="342"/>
      <c r="N1675" s="341"/>
      <c r="O1675" s="338">
        <f t="shared" si="800"/>
        <v>0</v>
      </c>
      <c r="P1675" s="336">
        <f t="shared" si="804"/>
        <v>0</v>
      </c>
      <c r="Q1675" s="430">
        <f t="shared" si="804"/>
        <v>0</v>
      </c>
      <c r="T1675" s="418"/>
    </row>
    <row r="1676" spans="3:20" ht="15" hidden="1" outlineLevel="2">
      <c r="C1676" s="1464"/>
      <c r="D1676" s="1464"/>
      <c r="E1676" s="1459"/>
      <c r="F1676" s="1462"/>
      <c r="G1676" s="343"/>
      <c r="H1676" s="340" t="s">
        <v>4</v>
      </c>
      <c r="I1676" s="341"/>
      <c r="J1676" s="336">
        <f t="shared" si="803"/>
        <v>0</v>
      </c>
      <c r="K1676" s="341">
        <v>0</v>
      </c>
      <c r="L1676" s="341">
        <v>0</v>
      </c>
      <c r="M1676" s="342"/>
      <c r="N1676" s="341"/>
      <c r="O1676" s="338">
        <f t="shared" si="800"/>
        <v>0</v>
      </c>
      <c r="P1676" s="336">
        <f t="shared" si="804"/>
        <v>0</v>
      </c>
      <c r="Q1676" s="430">
        <f t="shared" si="804"/>
        <v>0</v>
      </c>
      <c r="T1676" s="418"/>
    </row>
    <row r="1677" spans="3:20" ht="15" hidden="1" outlineLevel="2">
      <c r="C1677" s="1464"/>
      <c r="D1677" s="1464"/>
      <c r="E1677" s="1459"/>
      <c r="F1677" s="1462"/>
      <c r="G1677" s="343"/>
      <c r="H1677" s="340" t="s">
        <v>4</v>
      </c>
      <c r="I1677" s="341"/>
      <c r="J1677" s="336">
        <f t="shared" si="803"/>
        <v>0</v>
      </c>
      <c r="K1677" s="341">
        <v>0</v>
      </c>
      <c r="L1677" s="341">
        <v>0</v>
      </c>
      <c r="M1677" s="342"/>
      <c r="N1677" s="341"/>
      <c r="O1677" s="338">
        <f t="shared" si="800"/>
        <v>0</v>
      </c>
      <c r="P1677" s="336">
        <f t="shared" si="804"/>
        <v>0</v>
      </c>
      <c r="Q1677" s="430">
        <f t="shared" si="804"/>
        <v>0</v>
      </c>
      <c r="T1677" s="418"/>
    </row>
    <row r="1678" spans="3:20" ht="15" hidden="1" outlineLevel="2">
      <c r="C1678" s="1464"/>
      <c r="D1678" s="1464"/>
      <c r="E1678" s="1459"/>
      <c r="F1678" s="1462"/>
      <c r="G1678" s="343"/>
      <c r="H1678" s="340" t="s">
        <v>4</v>
      </c>
      <c r="I1678" s="341"/>
      <c r="J1678" s="336">
        <f t="shared" si="803"/>
        <v>0</v>
      </c>
      <c r="K1678" s="341">
        <v>0</v>
      </c>
      <c r="L1678" s="341">
        <v>0</v>
      </c>
      <c r="M1678" s="342"/>
      <c r="N1678" s="341"/>
      <c r="O1678" s="338">
        <f t="shared" si="800"/>
        <v>0</v>
      </c>
      <c r="P1678" s="336">
        <f t="shared" si="804"/>
        <v>0</v>
      </c>
      <c r="Q1678" s="430">
        <f t="shared" si="804"/>
        <v>0</v>
      </c>
      <c r="T1678" s="418"/>
    </row>
    <row r="1679" spans="3:20" ht="15" hidden="1" outlineLevel="2">
      <c r="C1679" s="1464"/>
      <c r="D1679" s="1464"/>
      <c r="E1679" s="1459"/>
      <c r="F1679" s="1462"/>
      <c r="G1679" s="343"/>
      <c r="H1679" s="340" t="s">
        <v>4</v>
      </c>
      <c r="I1679" s="341"/>
      <c r="J1679" s="336">
        <f t="shared" si="803"/>
        <v>0</v>
      </c>
      <c r="K1679" s="341">
        <v>0</v>
      </c>
      <c r="L1679" s="341">
        <v>0</v>
      </c>
      <c r="M1679" s="342"/>
      <c r="N1679" s="341"/>
      <c r="O1679" s="338">
        <f t="shared" si="800"/>
        <v>0</v>
      </c>
      <c r="P1679" s="336">
        <f t="shared" si="804"/>
        <v>0</v>
      </c>
      <c r="Q1679" s="430">
        <f t="shared" si="804"/>
        <v>0</v>
      </c>
      <c r="T1679" s="418"/>
    </row>
    <row r="1680" spans="3:20" ht="15" hidden="1" outlineLevel="2">
      <c r="C1680" s="1464"/>
      <c r="D1680" s="1464"/>
      <c r="E1680" s="1459"/>
      <c r="F1680" s="1462"/>
      <c r="G1680" s="343"/>
      <c r="H1680" s="340" t="s">
        <v>4</v>
      </c>
      <c r="I1680" s="341"/>
      <c r="J1680" s="336">
        <f t="shared" si="803"/>
        <v>0</v>
      </c>
      <c r="K1680" s="341">
        <v>0</v>
      </c>
      <c r="L1680" s="341">
        <v>0</v>
      </c>
      <c r="M1680" s="342"/>
      <c r="N1680" s="341"/>
      <c r="O1680" s="338">
        <f t="shared" si="800"/>
        <v>0</v>
      </c>
      <c r="P1680" s="336">
        <f t="shared" si="804"/>
        <v>0</v>
      </c>
      <c r="Q1680" s="430">
        <f t="shared" si="804"/>
        <v>0</v>
      </c>
      <c r="T1680" s="418"/>
    </row>
    <row r="1681" spans="3:20" ht="15" hidden="1" outlineLevel="2">
      <c r="C1681" s="1464"/>
      <c r="D1681" s="1464"/>
      <c r="E1681" s="1459"/>
      <c r="F1681" s="1462"/>
      <c r="G1681" s="343"/>
      <c r="H1681" s="340" t="s">
        <v>4</v>
      </c>
      <c r="I1681" s="341"/>
      <c r="J1681" s="336">
        <f t="shared" si="803"/>
        <v>0</v>
      </c>
      <c r="K1681" s="341">
        <v>0</v>
      </c>
      <c r="L1681" s="341">
        <v>0</v>
      </c>
      <c r="M1681" s="342"/>
      <c r="N1681" s="341"/>
      <c r="O1681" s="338">
        <f t="shared" si="800"/>
        <v>0</v>
      </c>
      <c r="P1681" s="336">
        <f t="shared" si="804"/>
        <v>0</v>
      </c>
      <c r="Q1681" s="430">
        <f t="shared" si="804"/>
        <v>0</v>
      </c>
      <c r="T1681" s="418"/>
    </row>
    <row r="1682" spans="3:20" ht="15" hidden="1" outlineLevel="2">
      <c r="C1682" s="1464"/>
      <c r="D1682" s="1464"/>
      <c r="E1682" s="1459"/>
      <c r="F1682" s="1462"/>
      <c r="G1682" s="343"/>
      <c r="H1682" s="340" t="s">
        <v>4</v>
      </c>
      <c r="I1682" s="341"/>
      <c r="J1682" s="336">
        <f t="shared" si="803"/>
        <v>0</v>
      </c>
      <c r="K1682" s="341">
        <v>0</v>
      </c>
      <c r="L1682" s="341">
        <v>0</v>
      </c>
      <c r="M1682" s="342"/>
      <c r="N1682" s="341"/>
      <c r="O1682" s="338">
        <f t="shared" si="800"/>
        <v>0</v>
      </c>
      <c r="P1682" s="336">
        <f t="shared" si="804"/>
        <v>0</v>
      </c>
      <c r="Q1682" s="430">
        <f t="shared" si="804"/>
        <v>0</v>
      </c>
      <c r="T1682" s="418"/>
    </row>
    <row r="1683" spans="3:20" ht="15" hidden="1" outlineLevel="2">
      <c r="C1683" s="1464"/>
      <c r="D1683" s="1464"/>
      <c r="E1683" s="1459"/>
      <c r="F1683" s="1462"/>
      <c r="G1683" s="343"/>
      <c r="H1683" s="340" t="s">
        <v>4</v>
      </c>
      <c r="I1683" s="341"/>
      <c r="J1683" s="336">
        <f t="shared" si="803"/>
        <v>0</v>
      </c>
      <c r="K1683" s="341">
        <v>0</v>
      </c>
      <c r="L1683" s="341">
        <v>0</v>
      </c>
      <c r="M1683" s="342"/>
      <c r="N1683" s="341"/>
      <c r="O1683" s="338">
        <f t="shared" si="800"/>
        <v>0</v>
      </c>
      <c r="P1683" s="336">
        <f t="shared" si="804"/>
        <v>0</v>
      </c>
      <c r="Q1683" s="430">
        <f t="shared" si="804"/>
        <v>0</v>
      </c>
      <c r="T1683" s="418"/>
    </row>
    <row r="1684" spans="3:20" ht="15" hidden="1" outlineLevel="2">
      <c r="C1684" s="1464"/>
      <c r="D1684" s="1464"/>
      <c r="E1684" s="1459"/>
      <c r="F1684" s="1462"/>
      <c r="G1684" s="343"/>
      <c r="H1684" s="340" t="s">
        <v>4</v>
      </c>
      <c r="I1684" s="341"/>
      <c r="J1684" s="336">
        <f t="shared" si="803"/>
        <v>0</v>
      </c>
      <c r="K1684" s="341">
        <v>0</v>
      </c>
      <c r="L1684" s="341">
        <v>0</v>
      </c>
      <c r="M1684" s="342"/>
      <c r="N1684" s="341"/>
      <c r="O1684" s="338">
        <f t="shared" si="800"/>
        <v>0</v>
      </c>
      <c r="P1684" s="336">
        <f t="shared" si="804"/>
        <v>0</v>
      </c>
      <c r="Q1684" s="430">
        <f t="shared" si="804"/>
        <v>0</v>
      </c>
      <c r="T1684" s="418"/>
    </row>
    <row r="1685" spans="3:20" ht="15" hidden="1" outlineLevel="2">
      <c r="C1685" s="1464"/>
      <c r="D1685" s="1464"/>
      <c r="E1685" s="1459"/>
      <c r="F1685" s="1462"/>
      <c r="G1685" s="343"/>
      <c r="H1685" s="340" t="s">
        <v>4</v>
      </c>
      <c r="I1685" s="341"/>
      <c r="J1685" s="336">
        <f t="shared" si="803"/>
        <v>0</v>
      </c>
      <c r="K1685" s="341">
        <v>0</v>
      </c>
      <c r="L1685" s="341">
        <v>0</v>
      </c>
      <c r="M1685" s="342"/>
      <c r="N1685" s="341"/>
      <c r="O1685" s="338">
        <f t="shared" si="800"/>
        <v>0</v>
      </c>
      <c r="P1685" s="336">
        <f t="shared" si="804"/>
        <v>0</v>
      </c>
      <c r="Q1685" s="430">
        <f t="shared" si="804"/>
        <v>0</v>
      </c>
      <c r="T1685" s="418"/>
    </row>
    <row r="1686" spans="3:20" ht="15" hidden="1" outlineLevel="2">
      <c r="C1686" s="1464"/>
      <c r="D1686" s="1464"/>
      <c r="E1686" s="1459"/>
      <c r="F1686" s="1462"/>
      <c r="G1686" s="343"/>
      <c r="H1686" s="340" t="s">
        <v>4</v>
      </c>
      <c r="I1686" s="341"/>
      <c r="J1686" s="336">
        <f t="shared" si="803"/>
        <v>0</v>
      </c>
      <c r="K1686" s="341">
        <v>0</v>
      </c>
      <c r="L1686" s="341">
        <v>0</v>
      </c>
      <c r="M1686" s="342"/>
      <c r="N1686" s="341"/>
      <c r="O1686" s="338">
        <f t="shared" si="800"/>
        <v>0</v>
      </c>
      <c r="P1686" s="336">
        <f t="shared" si="804"/>
        <v>0</v>
      </c>
      <c r="Q1686" s="430">
        <f t="shared" si="804"/>
        <v>0</v>
      </c>
      <c r="T1686" s="418"/>
    </row>
    <row r="1687" spans="3:20" ht="15" hidden="1" outlineLevel="2">
      <c r="C1687" s="1464"/>
      <c r="D1687" s="1464"/>
      <c r="E1687" s="1459"/>
      <c r="F1687" s="1462"/>
      <c r="G1687" s="343"/>
      <c r="H1687" s="340" t="s">
        <v>4</v>
      </c>
      <c r="I1687" s="341"/>
      <c r="J1687" s="336">
        <f t="shared" si="803"/>
        <v>0</v>
      </c>
      <c r="K1687" s="341">
        <v>0</v>
      </c>
      <c r="L1687" s="341">
        <v>0</v>
      </c>
      <c r="M1687" s="342"/>
      <c r="N1687" s="341"/>
      <c r="O1687" s="338">
        <f t="shared" si="800"/>
        <v>0</v>
      </c>
      <c r="P1687" s="336">
        <f t="shared" si="804"/>
        <v>0</v>
      </c>
      <c r="Q1687" s="430">
        <f t="shared" si="804"/>
        <v>0</v>
      </c>
      <c r="T1687" s="418"/>
    </row>
    <row r="1688" spans="3:20" ht="15" hidden="1" outlineLevel="2">
      <c r="C1688" s="1464"/>
      <c r="D1688" s="1464"/>
      <c r="E1688" s="1459"/>
      <c r="F1688" s="1462"/>
      <c r="G1688" s="343"/>
      <c r="H1688" s="340" t="s">
        <v>4</v>
      </c>
      <c r="I1688" s="341"/>
      <c r="J1688" s="336">
        <f t="shared" si="803"/>
        <v>0</v>
      </c>
      <c r="K1688" s="341">
        <v>0</v>
      </c>
      <c r="L1688" s="341">
        <v>0</v>
      </c>
      <c r="M1688" s="342"/>
      <c r="N1688" s="341"/>
      <c r="O1688" s="338">
        <f t="shared" si="800"/>
        <v>0</v>
      </c>
      <c r="P1688" s="336">
        <f t="shared" si="804"/>
        <v>0</v>
      </c>
      <c r="Q1688" s="430">
        <f t="shared" si="804"/>
        <v>0</v>
      </c>
      <c r="T1688" s="418"/>
    </row>
    <row r="1689" spans="3:20" ht="15" hidden="1" outlineLevel="2">
      <c r="C1689" s="1464"/>
      <c r="D1689" s="1464"/>
      <c r="E1689" s="1459"/>
      <c r="F1689" s="1462"/>
      <c r="G1689" s="343"/>
      <c r="H1689" s="340" t="s">
        <v>4</v>
      </c>
      <c r="I1689" s="341"/>
      <c r="J1689" s="336">
        <f t="shared" si="803"/>
        <v>0</v>
      </c>
      <c r="K1689" s="341">
        <v>0</v>
      </c>
      <c r="L1689" s="341">
        <v>0</v>
      </c>
      <c r="M1689" s="342"/>
      <c r="N1689" s="341"/>
      <c r="O1689" s="338">
        <f t="shared" si="800"/>
        <v>0</v>
      </c>
      <c r="P1689" s="336">
        <f t="shared" si="804"/>
        <v>0</v>
      </c>
      <c r="Q1689" s="430">
        <f t="shared" si="804"/>
        <v>0</v>
      </c>
      <c r="T1689" s="418"/>
    </row>
    <row r="1690" spans="3:20" ht="15" hidden="1" outlineLevel="2">
      <c r="C1690" s="1464"/>
      <c r="D1690" s="1464"/>
      <c r="E1690" s="1459"/>
      <c r="F1690" s="1462"/>
      <c r="G1690" s="343"/>
      <c r="H1690" s="340" t="s">
        <v>4</v>
      </c>
      <c r="I1690" s="341"/>
      <c r="J1690" s="336">
        <f t="shared" si="803"/>
        <v>0</v>
      </c>
      <c r="K1690" s="341">
        <v>0</v>
      </c>
      <c r="L1690" s="341">
        <v>0</v>
      </c>
      <c r="M1690" s="342"/>
      <c r="N1690" s="341"/>
      <c r="O1690" s="338">
        <f t="shared" si="800"/>
        <v>0</v>
      </c>
      <c r="P1690" s="336">
        <f t="shared" si="804"/>
        <v>0</v>
      </c>
      <c r="Q1690" s="430">
        <f t="shared" si="804"/>
        <v>0</v>
      </c>
      <c r="T1690" s="418"/>
    </row>
    <row r="1691" spans="3:20" ht="15" hidden="1" outlineLevel="2">
      <c r="C1691" s="1464"/>
      <c r="D1691" s="1464"/>
      <c r="E1691" s="1459"/>
      <c r="F1691" s="1462"/>
      <c r="G1691" s="343"/>
      <c r="H1691" s="340" t="s">
        <v>4</v>
      </c>
      <c r="I1691" s="341"/>
      <c r="J1691" s="336">
        <f t="shared" si="803"/>
        <v>0</v>
      </c>
      <c r="K1691" s="341">
        <v>0</v>
      </c>
      <c r="L1691" s="341">
        <v>0</v>
      </c>
      <c r="M1691" s="342"/>
      <c r="N1691" s="341"/>
      <c r="O1691" s="338">
        <f t="shared" si="800"/>
        <v>0</v>
      </c>
      <c r="P1691" s="336">
        <f t="shared" si="804"/>
        <v>0</v>
      </c>
      <c r="Q1691" s="430">
        <f t="shared" si="804"/>
        <v>0</v>
      </c>
      <c r="T1691" s="418"/>
    </row>
    <row r="1692" spans="3:20" ht="15" hidden="1" outlineLevel="2">
      <c r="C1692" s="1464"/>
      <c r="D1692" s="1464"/>
      <c r="E1692" s="1459"/>
      <c r="F1692" s="1462"/>
      <c r="G1692" s="343"/>
      <c r="H1692" s="340" t="s">
        <v>4</v>
      </c>
      <c r="I1692" s="341"/>
      <c r="J1692" s="336">
        <f t="shared" si="803"/>
        <v>0</v>
      </c>
      <c r="K1692" s="341">
        <v>0</v>
      </c>
      <c r="L1692" s="341">
        <v>0</v>
      </c>
      <c r="M1692" s="342"/>
      <c r="N1692" s="341"/>
      <c r="O1692" s="338">
        <f t="shared" si="800"/>
        <v>0</v>
      </c>
      <c r="P1692" s="336">
        <f t="shared" si="804"/>
        <v>0</v>
      </c>
      <c r="Q1692" s="430">
        <f t="shared" si="804"/>
        <v>0</v>
      </c>
      <c r="T1692" s="418"/>
    </row>
    <row r="1693" spans="3:20" ht="15" hidden="1" outlineLevel="2">
      <c r="C1693" s="1464"/>
      <c r="D1693" s="1464"/>
      <c r="E1693" s="1459"/>
      <c r="F1693" s="1462"/>
      <c r="G1693" s="1454" t="s">
        <v>45</v>
      </c>
      <c r="H1693" s="1455"/>
      <c r="I1693" s="359">
        <f>SUM(I1665:I1692)</f>
        <v>0</v>
      </c>
      <c r="J1693" s="359">
        <f>SUM(J1665:J1692)</f>
        <v>0</v>
      </c>
      <c r="K1693" s="359">
        <f>SUM(K1665:K1692)</f>
        <v>0</v>
      </c>
      <c r="L1693" s="359">
        <f>SUM(L1665:L1692)</f>
        <v>0</v>
      </c>
      <c r="M1693" s="360" t="s">
        <v>43</v>
      </c>
      <c r="N1693" s="359">
        <f>SUM(N1665:N1692)</f>
        <v>0</v>
      </c>
      <c r="O1693" s="361">
        <f t="shared" si="800"/>
        <v>0</v>
      </c>
      <c r="P1693" s="359">
        <f>SUM(P1665:P1692)</f>
        <v>0</v>
      </c>
      <c r="Q1693" s="435">
        <f>SUM(Q1665:Q1692)</f>
        <v>0</v>
      </c>
      <c r="T1693" s="418"/>
    </row>
    <row r="1694" spans="3:20" ht="15" hidden="1" outlineLevel="2">
      <c r="C1694" s="1464"/>
      <c r="D1694" s="1464"/>
      <c r="E1694" s="1459"/>
      <c r="F1694" s="1462"/>
      <c r="G1694" s="353"/>
      <c r="H1694" s="340" t="s">
        <v>29</v>
      </c>
      <c r="I1694" s="341"/>
      <c r="J1694" s="336"/>
      <c r="K1694" s="336"/>
      <c r="L1694" s="336"/>
      <c r="M1694" s="363"/>
      <c r="N1694" s="336"/>
      <c r="O1694" s="338">
        <f t="shared" si="800"/>
        <v>0</v>
      </c>
      <c r="P1694" s="336"/>
      <c r="Q1694" s="430"/>
      <c r="T1694" s="418"/>
    </row>
    <row r="1695" spans="3:20" ht="15" hidden="1" outlineLevel="2">
      <c r="C1695" s="1464"/>
      <c r="D1695" s="1464"/>
      <c r="E1695" s="1459"/>
      <c r="F1695" s="1462"/>
      <c r="G1695" s="353"/>
      <c r="H1695" s="340" t="s">
        <v>29</v>
      </c>
      <c r="I1695" s="341"/>
      <c r="J1695" s="336"/>
      <c r="K1695" s="336"/>
      <c r="L1695" s="336"/>
      <c r="M1695" s="363"/>
      <c r="N1695" s="336"/>
      <c r="O1695" s="338">
        <f t="shared" si="800"/>
        <v>0</v>
      </c>
      <c r="P1695" s="336"/>
      <c r="Q1695" s="430"/>
      <c r="T1695" s="418"/>
    </row>
    <row r="1696" spans="3:20" ht="15" hidden="1" outlineLevel="2">
      <c r="C1696" s="1464"/>
      <c r="D1696" s="1464"/>
      <c r="E1696" s="1459"/>
      <c r="F1696" s="1462"/>
      <c r="G1696" s="353"/>
      <c r="H1696" s="340" t="s">
        <v>29</v>
      </c>
      <c r="I1696" s="341"/>
      <c r="J1696" s="336"/>
      <c r="K1696" s="336"/>
      <c r="L1696" s="336"/>
      <c r="M1696" s="363"/>
      <c r="N1696" s="336"/>
      <c r="O1696" s="338">
        <f t="shared" si="800"/>
        <v>0</v>
      </c>
      <c r="P1696" s="336"/>
      <c r="Q1696" s="430"/>
      <c r="T1696" s="418"/>
    </row>
    <row r="1697" spans="3:20" ht="15" hidden="1" outlineLevel="2">
      <c r="C1697" s="1464"/>
      <c r="D1697" s="1464"/>
      <c r="E1697" s="1459"/>
      <c r="F1697" s="1462"/>
      <c r="G1697" s="353"/>
      <c r="H1697" s="340" t="s">
        <v>29</v>
      </c>
      <c r="I1697" s="341"/>
      <c r="J1697" s="336"/>
      <c r="K1697" s="336"/>
      <c r="L1697" s="336"/>
      <c r="M1697" s="363"/>
      <c r="N1697" s="336"/>
      <c r="O1697" s="338">
        <f t="shared" si="800"/>
        <v>0</v>
      </c>
      <c r="P1697" s="336"/>
      <c r="Q1697" s="430"/>
      <c r="T1697" s="418"/>
    </row>
    <row r="1698" spans="3:20" ht="15" hidden="1" outlineLevel="2">
      <c r="C1698" s="1464"/>
      <c r="D1698" s="1464"/>
      <c r="E1698" s="1459"/>
      <c r="F1698" s="1462"/>
      <c r="G1698" s="353"/>
      <c r="H1698" s="340" t="s">
        <v>29</v>
      </c>
      <c r="I1698" s="341"/>
      <c r="J1698" s="336"/>
      <c r="K1698" s="336"/>
      <c r="L1698" s="336"/>
      <c r="M1698" s="363"/>
      <c r="N1698" s="336"/>
      <c r="O1698" s="338">
        <f t="shared" si="800"/>
        <v>0</v>
      </c>
      <c r="P1698" s="336"/>
      <c r="Q1698" s="430"/>
      <c r="T1698" s="418"/>
    </row>
    <row r="1699" spans="3:20" ht="15" hidden="1" outlineLevel="2">
      <c r="C1699" s="1464"/>
      <c r="D1699" s="1464"/>
      <c r="E1699" s="1459"/>
      <c r="F1699" s="1462"/>
      <c r="G1699" s="353"/>
      <c r="H1699" s="340" t="s">
        <v>29</v>
      </c>
      <c r="I1699" s="341"/>
      <c r="J1699" s="336"/>
      <c r="K1699" s="336"/>
      <c r="L1699" s="336"/>
      <c r="M1699" s="363"/>
      <c r="N1699" s="336"/>
      <c r="O1699" s="338">
        <f t="shared" si="800"/>
        <v>0</v>
      </c>
      <c r="P1699" s="336"/>
      <c r="Q1699" s="430"/>
      <c r="T1699" s="418"/>
    </row>
    <row r="1700" spans="3:20" ht="15" hidden="1" outlineLevel="2">
      <c r="C1700" s="1464"/>
      <c r="D1700" s="1464"/>
      <c r="E1700" s="1459"/>
      <c r="F1700" s="1462"/>
      <c r="G1700" s="353"/>
      <c r="H1700" s="340" t="s">
        <v>29</v>
      </c>
      <c r="I1700" s="341"/>
      <c r="J1700" s="336"/>
      <c r="K1700" s="336"/>
      <c r="L1700" s="336"/>
      <c r="M1700" s="363"/>
      <c r="N1700" s="336"/>
      <c r="O1700" s="338">
        <f t="shared" si="800"/>
        <v>0</v>
      </c>
      <c r="P1700" s="336"/>
      <c r="Q1700" s="430"/>
      <c r="T1700" s="418"/>
    </row>
    <row r="1701" spans="3:20" ht="15" hidden="1" outlineLevel="2">
      <c r="C1701" s="1464"/>
      <c r="D1701" s="1464"/>
      <c r="E1701" s="1459"/>
      <c r="F1701" s="1462"/>
      <c r="G1701" s="353"/>
      <c r="H1701" s="340" t="s">
        <v>29</v>
      </c>
      <c r="I1701" s="341"/>
      <c r="J1701" s="336"/>
      <c r="K1701" s="336"/>
      <c r="L1701" s="336"/>
      <c r="M1701" s="363"/>
      <c r="N1701" s="336"/>
      <c r="O1701" s="338">
        <f t="shared" si="800"/>
        <v>0</v>
      </c>
      <c r="P1701" s="336"/>
      <c r="Q1701" s="430"/>
      <c r="T1701" s="418"/>
    </row>
    <row r="1702" spans="3:20" ht="15" hidden="1" outlineLevel="2">
      <c r="C1702" s="1464"/>
      <c r="D1702" s="1464"/>
      <c r="E1702" s="1459"/>
      <c r="F1702" s="1462"/>
      <c r="G1702" s="353"/>
      <c r="H1702" s="340" t="s">
        <v>29</v>
      </c>
      <c r="I1702" s="341"/>
      <c r="J1702" s="336"/>
      <c r="K1702" s="336"/>
      <c r="L1702" s="336"/>
      <c r="M1702" s="363"/>
      <c r="N1702" s="336"/>
      <c r="O1702" s="338">
        <f t="shared" si="800"/>
        <v>0</v>
      </c>
      <c r="P1702" s="336"/>
      <c r="Q1702" s="430"/>
      <c r="T1702" s="418"/>
    </row>
    <row r="1703" spans="3:20" ht="15" hidden="1" outlineLevel="2">
      <c r="C1703" s="1464"/>
      <c r="D1703" s="1464"/>
      <c r="E1703" s="1459"/>
      <c r="F1703" s="1462"/>
      <c r="G1703" s="353"/>
      <c r="H1703" s="340" t="s">
        <v>29</v>
      </c>
      <c r="I1703" s="341"/>
      <c r="J1703" s="336"/>
      <c r="K1703" s="336"/>
      <c r="L1703" s="336"/>
      <c r="M1703" s="363"/>
      <c r="N1703" s="336"/>
      <c r="O1703" s="338">
        <f t="shared" si="800"/>
        <v>0</v>
      </c>
      <c r="P1703" s="336"/>
      <c r="Q1703" s="430"/>
      <c r="T1703" s="418"/>
    </row>
    <row r="1704" spans="3:20" ht="15" hidden="1" outlineLevel="2">
      <c r="C1704" s="1464"/>
      <c r="D1704" s="1464"/>
      <c r="E1704" s="1459"/>
      <c r="F1704" s="1462"/>
      <c r="G1704" s="353"/>
      <c r="H1704" s="340" t="s">
        <v>29</v>
      </c>
      <c r="I1704" s="341"/>
      <c r="J1704" s="336"/>
      <c r="K1704" s="336"/>
      <c r="L1704" s="336"/>
      <c r="M1704" s="363"/>
      <c r="N1704" s="336"/>
      <c r="O1704" s="338">
        <f t="shared" si="800"/>
        <v>0</v>
      </c>
      <c r="P1704" s="336"/>
      <c r="Q1704" s="430"/>
      <c r="T1704" s="418"/>
    </row>
    <row r="1705" spans="3:20" ht="15" hidden="1" outlineLevel="2">
      <c r="C1705" s="1464"/>
      <c r="D1705" s="1464"/>
      <c r="E1705" s="1459"/>
      <c r="F1705" s="1462"/>
      <c r="G1705" s="353"/>
      <c r="H1705" s="340" t="s">
        <v>29</v>
      </c>
      <c r="I1705" s="341"/>
      <c r="J1705" s="336"/>
      <c r="K1705" s="336"/>
      <c r="L1705" s="336"/>
      <c r="M1705" s="363"/>
      <c r="N1705" s="336"/>
      <c r="O1705" s="338">
        <f t="shared" si="800"/>
        <v>0</v>
      </c>
      <c r="P1705" s="336"/>
      <c r="Q1705" s="430"/>
      <c r="T1705" s="418"/>
    </row>
    <row r="1706" spans="3:20" ht="15" hidden="1" outlineLevel="2">
      <c r="C1706" s="1464"/>
      <c r="D1706" s="1464"/>
      <c r="E1706" s="1459"/>
      <c r="F1706" s="1462"/>
      <c r="G1706" s="1454" t="s">
        <v>50</v>
      </c>
      <c r="H1706" s="1455"/>
      <c r="I1706" s="359">
        <f>SUM(I1694:I1705)</f>
        <v>0</v>
      </c>
      <c r="J1706" s="359">
        <f t="shared" ref="J1706:K1706" si="805">SUM(J1694:J1705)</f>
        <v>0</v>
      </c>
      <c r="K1706" s="359">
        <f t="shared" si="805"/>
        <v>0</v>
      </c>
      <c r="L1706" s="359">
        <f t="shared" ref="L1706" si="806">SUM(L1694:L1705)</f>
        <v>0</v>
      </c>
      <c r="M1706" s="360" t="s">
        <v>43</v>
      </c>
      <c r="N1706" s="359">
        <f>SUM(N1694:N1705)</f>
        <v>0</v>
      </c>
      <c r="O1706" s="361">
        <f t="shared" si="800"/>
        <v>0</v>
      </c>
      <c r="P1706" s="359">
        <f t="shared" ref="P1706:Q1706" si="807">SUM(P1694:P1705)</f>
        <v>0</v>
      </c>
      <c r="Q1706" s="435">
        <f t="shared" si="807"/>
        <v>0</v>
      </c>
      <c r="T1706" s="418"/>
    </row>
    <row r="1707" spans="3:20" ht="15" hidden="1" outlineLevel="2">
      <c r="C1707" s="1464"/>
      <c r="D1707" s="1464"/>
      <c r="E1707" s="1459"/>
      <c r="F1707" s="1462"/>
      <c r="G1707" s="353"/>
      <c r="H1707" s="340" t="s">
        <v>22</v>
      </c>
      <c r="I1707" s="341"/>
      <c r="J1707" s="341">
        <v>0</v>
      </c>
      <c r="K1707" s="341"/>
      <c r="L1707" s="341"/>
      <c r="M1707" s="410"/>
      <c r="N1707" s="341"/>
      <c r="O1707" s="357">
        <f t="shared" si="800"/>
        <v>0</v>
      </c>
      <c r="P1707" s="341">
        <v>0</v>
      </c>
      <c r="Q1707" s="431">
        <v>0</v>
      </c>
      <c r="T1707" s="418"/>
    </row>
    <row r="1708" spans="3:20" ht="15" hidden="1" outlineLevel="2">
      <c r="C1708" s="1464"/>
      <c r="D1708" s="1464"/>
      <c r="E1708" s="1459"/>
      <c r="F1708" s="1462"/>
      <c r="G1708" s="353"/>
      <c r="H1708" s="340" t="s">
        <v>22</v>
      </c>
      <c r="I1708" s="341"/>
      <c r="J1708" s="341">
        <v>0</v>
      </c>
      <c r="K1708" s="341"/>
      <c r="L1708" s="341"/>
      <c r="M1708" s="410"/>
      <c r="N1708" s="341"/>
      <c r="O1708" s="357">
        <f t="shared" si="800"/>
        <v>0</v>
      </c>
      <c r="P1708" s="341">
        <v>0</v>
      </c>
      <c r="Q1708" s="431">
        <v>0</v>
      </c>
      <c r="T1708" s="418"/>
    </row>
    <row r="1709" spans="3:20" ht="15" hidden="1" outlineLevel="2">
      <c r="C1709" s="1464"/>
      <c r="D1709" s="1464"/>
      <c r="E1709" s="1459"/>
      <c r="F1709" s="1462"/>
      <c r="G1709" s="353"/>
      <c r="H1709" s="340" t="s">
        <v>22</v>
      </c>
      <c r="I1709" s="341"/>
      <c r="J1709" s="341">
        <v>0</v>
      </c>
      <c r="K1709" s="341"/>
      <c r="L1709" s="341"/>
      <c r="M1709" s="410"/>
      <c r="N1709" s="341"/>
      <c r="O1709" s="357">
        <f t="shared" si="800"/>
        <v>0</v>
      </c>
      <c r="P1709" s="341">
        <v>0</v>
      </c>
      <c r="Q1709" s="431">
        <v>0</v>
      </c>
      <c r="T1709" s="418"/>
    </row>
    <row r="1710" spans="3:20" ht="15" hidden="1" outlineLevel="2">
      <c r="C1710" s="1464"/>
      <c r="D1710" s="1464"/>
      <c r="E1710" s="1459"/>
      <c r="F1710" s="1462"/>
      <c r="G1710" s="353"/>
      <c r="H1710" s="340" t="s">
        <v>22</v>
      </c>
      <c r="I1710" s="341"/>
      <c r="J1710" s="341">
        <v>0</v>
      </c>
      <c r="K1710" s="341"/>
      <c r="L1710" s="341"/>
      <c r="M1710" s="410"/>
      <c r="N1710" s="341"/>
      <c r="O1710" s="357">
        <f t="shared" si="800"/>
        <v>0</v>
      </c>
      <c r="P1710" s="341">
        <v>0</v>
      </c>
      <c r="Q1710" s="431">
        <v>0</v>
      </c>
      <c r="T1710" s="418"/>
    </row>
    <row r="1711" spans="3:20" ht="15" hidden="1" outlineLevel="2">
      <c r="C1711" s="1464"/>
      <c r="D1711" s="1464"/>
      <c r="E1711" s="1459"/>
      <c r="F1711" s="1462"/>
      <c r="G1711" s="353"/>
      <c r="H1711" s="340" t="s">
        <v>22</v>
      </c>
      <c r="I1711" s="341"/>
      <c r="J1711" s="341">
        <v>0</v>
      </c>
      <c r="K1711" s="341"/>
      <c r="L1711" s="341"/>
      <c r="M1711" s="410"/>
      <c r="N1711" s="341"/>
      <c r="O1711" s="357">
        <f t="shared" si="800"/>
        <v>0</v>
      </c>
      <c r="P1711" s="341">
        <v>0</v>
      </c>
      <c r="Q1711" s="431">
        <v>0</v>
      </c>
      <c r="T1711" s="418"/>
    </row>
    <row r="1712" spans="3:20" ht="15" hidden="1" outlineLevel="2">
      <c r="C1712" s="1464"/>
      <c r="D1712" s="1464"/>
      <c r="E1712" s="1459"/>
      <c r="F1712" s="1462"/>
      <c r="G1712" s="353"/>
      <c r="H1712" s="340" t="s">
        <v>22</v>
      </c>
      <c r="I1712" s="341"/>
      <c r="J1712" s="341">
        <v>0</v>
      </c>
      <c r="K1712" s="341"/>
      <c r="L1712" s="341"/>
      <c r="M1712" s="410"/>
      <c r="N1712" s="341"/>
      <c r="O1712" s="357">
        <f t="shared" si="800"/>
        <v>0</v>
      </c>
      <c r="P1712" s="341">
        <v>0</v>
      </c>
      <c r="Q1712" s="431">
        <v>0</v>
      </c>
      <c r="T1712" s="418"/>
    </row>
    <row r="1713" spans="3:20" ht="15" hidden="1" outlineLevel="2">
      <c r="C1713" s="1464"/>
      <c r="D1713" s="1464"/>
      <c r="E1713" s="1459"/>
      <c r="F1713" s="1462"/>
      <c r="G1713" s="353"/>
      <c r="H1713" s="340" t="s">
        <v>22</v>
      </c>
      <c r="I1713" s="341"/>
      <c r="J1713" s="341">
        <v>0</v>
      </c>
      <c r="K1713" s="341"/>
      <c r="L1713" s="341"/>
      <c r="M1713" s="410"/>
      <c r="N1713" s="341"/>
      <c r="O1713" s="357">
        <f t="shared" si="800"/>
        <v>0</v>
      </c>
      <c r="P1713" s="341">
        <v>0</v>
      </c>
      <c r="Q1713" s="431">
        <v>0</v>
      </c>
      <c r="T1713" s="418"/>
    </row>
    <row r="1714" spans="3:20" ht="15" hidden="1" outlineLevel="2">
      <c r="C1714" s="1464"/>
      <c r="D1714" s="1464"/>
      <c r="E1714" s="1459"/>
      <c r="F1714" s="1462"/>
      <c r="G1714" s="353"/>
      <c r="H1714" s="340" t="s">
        <v>22</v>
      </c>
      <c r="I1714" s="341"/>
      <c r="J1714" s="341">
        <v>0</v>
      </c>
      <c r="K1714" s="341"/>
      <c r="L1714" s="341"/>
      <c r="M1714" s="410"/>
      <c r="N1714" s="341"/>
      <c r="O1714" s="357">
        <f t="shared" si="800"/>
        <v>0</v>
      </c>
      <c r="P1714" s="341">
        <v>0</v>
      </c>
      <c r="Q1714" s="431">
        <v>0</v>
      </c>
      <c r="T1714" s="418"/>
    </row>
    <row r="1715" spans="3:20" ht="15" hidden="1" outlineLevel="2">
      <c r="C1715" s="1464"/>
      <c r="D1715" s="1464"/>
      <c r="E1715" s="1459"/>
      <c r="F1715" s="1462"/>
      <c r="G1715" s="353"/>
      <c r="H1715" s="340" t="s">
        <v>22</v>
      </c>
      <c r="I1715" s="341"/>
      <c r="J1715" s="341">
        <v>0</v>
      </c>
      <c r="K1715" s="341"/>
      <c r="L1715" s="341"/>
      <c r="M1715" s="410"/>
      <c r="N1715" s="341"/>
      <c r="O1715" s="357">
        <f t="shared" si="800"/>
        <v>0</v>
      </c>
      <c r="P1715" s="341">
        <v>0</v>
      </c>
      <c r="Q1715" s="431">
        <v>0</v>
      </c>
      <c r="T1715" s="418"/>
    </row>
    <row r="1716" spans="3:20" ht="15" hidden="1" outlineLevel="2">
      <c r="C1716" s="1464"/>
      <c r="D1716" s="1464"/>
      <c r="E1716" s="1459"/>
      <c r="F1716" s="1462"/>
      <c r="G1716" s="353"/>
      <c r="H1716" s="340" t="s">
        <v>22</v>
      </c>
      <c r="I1716" s="341"/>
      <c r="J1716" s="341">
        <v>0</v>
      </c>
      <c r="K1716" s="341"/>
      <c r="L1716" s="341"/>
      <c r="M1716" s="410"/>
      <c r="N1716" s="341"/>
      <c r="O1716" s="357">
        <f t="shared" si="800"/>
        <v>0</v>
      </c>
      <c r="P1716" s="341">
        <v>0</v>
      </c>
      <c r="Q1716" s="431">
        <v>0</v>
      </c>
      <c r="T1716" s="418"/>
    </row>
    <row r="1717" spans="3:20" ht="15" hidden="1" outlineLevel="2">
      <c r="C1717" s="1464"/>
      <c r="D1717" s="1464"/>
      <c r="E1717" s="1459"/>
      <c r="F1717" s="1462"/>
      <c r="G1717" s="353"/>
      <c r="H1717" s="340" t="s">
        <v>22</v>
      </c>
      <c r="I1717" s="341"/>
      <c r="J1717" s="341">
        <v>0</v>
      </c>
      <c r="K1717" s="341"/>
      <c r="L1717" s="341"/>
      <c r="M1717" s="410"/>
      <c r="N1717" s="341"/>
      <c r="O1717" s="357">
        <f t="shared" si="800"/>
        <v>0</v>
      </c>
      <c r="P1717" s="341">
        <v>0</v>
      </c>
      <c r="Q1717" s="431">
        <v>0</v>
      </c>
      <c r="T1717" s="418"/>
    </row>
    <row r="1718" spans="3:20" ht="15" hidden="1" outlineLevel="2">
      <c r="C1718" s="1464"/>
      <c r="D1718" s="1464"/>
      <c r="E1718" s="1459"/>
      <c r="F1718" s="1462"/>
      <c r="G1718" s="353"/>
      <c r="H1718" s="340" t="s">
        <v>22</v>
      </c>
      <c r="I1718" s="341"/>
      <c r="J1718" s="341">
        <v>0</v>
      </c>
      <c r="K1718" s="341"/>
      <c r="L1718" s="341"/>
      <c r="M1718" s="410"/>
      <c r="N1718" s="341"/>
      <c r="O1718" s="357">
        <f t="shared" si="800"/>
        <v>0</v>
      </c>
      <c r="P1718" s="341">
        <v>0</v>
      </c>
      <c r="Q1718" s="431">
        <v>0</v>
      </c>
      <c r="T1718" s="418"/>
    </row>
    <row r="1719" spans="3:20" ht="15" hidden="1" outlineLevel="2">
      <c r="C1719" s="1464"/>
      <c r="D1719" s="1464"/>
      <c r="E1719" s="1459"/>
      <c r="F1719" s="1462"/>
      <c r="G1719" s="353"/>
      <c r="H1719" s="340" t="s">
        <v>22</v>
      </c>
      <c r="I1719" s="341"/>
      <c r="J1719" s="341">
        <v>0</v>
      </c>
      <c r="K1719" s="341"/>
      <c r="L1719" s="341"/>
      <c r="M1719" s="410"/>
      <c r="N1719" s="341"/>
      <c r="O1719" s="357">
        <f t="shared" si="800"/>
        <v>0</v>
      </c>
      <c r="P1719" s="341">
        <v>0</v>
      </c>
      <c r="Q1719" s="431">
        <v>0</v>
      </c>
      <c r="T1719" s="418"/>
    </row>
    <row r="1720" spans="3:20" ht="15" hidden="1" outlineLevel="2">
      <c r="C1720" s="1464"/>
      <c r="D1720" s="1464"/>
      <c r="E1720" s="1459"/>
      <c r="F1720" s="1462"/>
      <c r="G1720" s="353"/>
      <c r="H1720" s="340" t="s">
        <v>22</v>
      </c>
      <c r="I1720" s="341"/>
      <c r="J1720" s="341">
        <v>0</v>
      </c>
      <c r="K1720" s="341"/>
      <c r="L1720" s="341"/>
      <c r="M1720" s="410"/>
      <c r="N1720" s="341"/>
      <c r="O1720" s="357">
        <f t="shared" si="800"/>
        <v>0</v>
      </c>
      <c r="P1720" s="341">
        <v>0</v>
      </c>
      <c r="Q1720" s="431">
        <v>0</v>
      </c>
      <c r="T1720" s="418"/>
    </row>
    <row r="1721" spans="3:20" ht="15" hidden="1" outlineLevel="2">
      <c r="C1721" s="1464"/>
      <c r="D1721" s="1464"/>
      <c r="E1721" s="1459"/>
      <c r="F1721" s="1462"/>
      <c r="G1721" s="353"/>
      <c r="H1721" s="340" t="s">
        <v>22</v>
      </c>
      <c r="I1721" s="341"/>
      <c r="J1721" s="341">
        <v>0</v>
      </c>
      <c r="K1721" s="341"/>
      <c r="L1721" s="341"/>
      <c r="M1721" s="410"/>
      <c r="N1721" s="341"/>
      <c r="O1721" s="357">
        <f t="shared" si="800"/>
        <v>0</v>
      </c>
      <c r="P1721" s="341">
        <v>0</v>
      </c>
      <c r="Q1721" s="431">
        <v>0</v>
      </c>
      <c r="T1721" s="418"/>
    </row>
    <row r="1722" spans="3:20" ht="15" hidden="1" outlineLevel="2">
      <c r="C1722" s="1464"/>
      <c r="D1722" s="1464"/>
      <c r="E1722" s="1459"/>
      <c r="F1722" s="1462"/>
      <c r="G1722" s="353"/>
      <c r="H1722" s="340" t="s">
        <v>22</v>
      </c>
      <c r="I1722" s="341"/>
      <c r="J1722" s="341">
        <v>0</v>
      </c>
      <c r="K1722" s="341"/>
      <c r="L1722" s="341"/>
      <c r="M1722" s="410"/>
      <c r="N1722" s="341"/>
      <c r="O1722" s="357">
        <f t="shared" si="800"/>
        <v>0</v>
      </c>
      <c r="P1722" s="341">
        <v>0</v>
      </c>
      <c r="Q1722" s="431">
        <v>0</v>
      </c>
      <c r="T1722" s="418"/>
    </row>
    <row r="1723" spans="3:20" ht="15" hidden="1" outlineLevel="2">
      <c r="C1723" s="1464"/>
      <c r="D1723" s="1464"/>
      <c r="E1723" s="1459"/>
      <c r="F1723" s="1462"/>
      <c r="G1723" s="353"/>
      <c r="H1723" s="340" t="s">
        <v>22</v>
      </c>
      <c r="I1723" s="341"/>
      <c r="J1723" s="341">
        <v>0</v>
      </c>
      <c r="K1723" s="341"/>
      <c r="L1723" s="341"/>
      <c r="M1723" s="410"/>
      <c r="N1723" s="341"/>
      <c r="O1723" s="357">
        <f t="shared" si="800"/>
        <v>0</v>
      </c>
      <c r="P1723" s="341">
        <v>0</v>
      </c>
      <c r="Q1723" s="431">
        <v>0</v>
      </c>
      <c r="T1723" s="418"/>
    </row>
    <row r="1724" spans="3:20" ht="15" hidden="1" outlineLevel="2">
      <c r="C1724" s="1464"/>
      <c r="D1724" s="1464"/>
      <c r="E1724" s="1459"/>
      <c r="F1724" s="1462"/>
      <c r="G1724" s="353"/>
      <c r="H1724" s="340" t="s">
        <v>22</v>
      </c>
      <c r="I1724" s="341"/>
      <c r="J1724" s="341">
        <v>0</v>
      </c>
      <c r="K1724" s="341"/>
      <c r="L1724" s="341"/>
      <c r="M1724" s="410"/>
      <c r="N1724" s="341"/>
      <c r="O1724" s="357">
        <f t="shared" si="800"/>
        <v>0</v>
      </c>
      <c r="P1724" s="341">
        <v>0</v>
      </c>
      <c r="Q1724" s="431">
        <v>0</v>
      </c>
      <c r="T1724" s="418"/>
    </row>
    <row r="1725" spans="3:20" ht="15" hidden="1" outlineLevel="2">
      <c r="C1725" s="1464"/>
      <c r="D1725" s="1464"/>
      <c r="E1725" s="1459"/>
      <c r="F1725" s="1462"/>
      <c r="G1725" s="353"/>
      <c r="H1725" s="340" t="s">
        <v>22</v>
      </c>
      <c r="I1725" s="341"/>
      <c r="J1725" s="341">
        <v>0</v>
      </c>
      <c r="K1725" s="341"/>
      <c r="L1725" s="341"/>
      <c r="M1725" s="410"/>
      <c r="N1725" s="341"/>
      <c r="O1725" s="357">
        <f t="shared" si="800"/>
        <v>0</v>
      </c>
      <c r="P1725" s="341">
        <v>0</v>
      </c>
      <c r="Q1725" s="431">
        <v>0</v>
      </c>
      <c r="T1725" s="418"/>
    </row>
    <row r="1726" spans="3:20" ht="15" hidden="1" outlineLevel="2">
      <c r="C1726" s="1464"/>
      <c r="D1726" s="1464"/>
      <c r="E1726" s="1459"/>
      <c r="F1726" s="1462"/>
      <c r="G1726" s="1454" t="s">
        <v>44</v>
      </c>
      <c r="H1726" s="1455"/>
      <c r="I1726" s="365">
        <f>SUM(I1707:I1725)</f>
        <v>0</v>
      </c>
      <c r="J1726" s="365">
        <f t="shared" ref="J1726:K1726" si="808">SUM(J1707:J1725)</f>
        <v>0</v>
      </c>
      <c r="K1726" s="365">
        <f t="shared" si="808"/>
        <v>0</v>
      </c>
      <c r="L1726" s="365">
        <f t="shared" ref="L1726" si="809">SUM(L1707:L1725)</f>
        <v>0</v>
      </c>
      <c r="M1726" s="366" t="s">
        <v>43</v>
      </c>
      <c r="N1726" s="365">
        <f t="shared" ref="N1726" si="810">SUM(N1707:N1725)</f>
        <v>0</v>
      </c>
      <c r="O1726" s="361">
        <f t="shared" si="800"/>
        <v>0</v>
      </c>
      <c r="P1726" s="365">
        <f t="shared" ref="P1726:Q1726" si="811">SUM(P1707:P1725)</f>
        <v>0</v>
      </c>
      <c r="Q1726" s="436">
        <f t="shared" si="811"/>
        <v>0</v>
      </c>
      <c r="T1726" s="418"/>
    </row>
    <row r="1727" spans="3:20" ht="15" hidden="1" outlineLevel="2">
      <c r="C1727" s="1464"/>
      <c r="D1727" s="1464"/>
      <c r="E1727" s="1459"/>
      <c r="F1727" s="1462"/>
      <c r="G1727" s="343"/>
      <c r="H1727" s="335" t="s">
        <v>4</v>
      </c>
      <c r="I1727" s="336">
        <f>I1693</f>
        <v>0</v>
      </c>
      <c r="J1727" s="336">
        <f>J1693</f>
        <v>0</v>
      </c>
      <c r="K1727" s="336">
        <f>K1693</f>
        <v>0</v>
      </c>
      <c r="L1727" s="336">
        <f>L1693</f>
        <v>0</v>
      </c>
      <c r="M1727" s="337" t="s">
        <v>49</v>
      </c>
      <c r="N1727" s="336">
        <f>N1693</f>
        <v>0</v>
      </c>
      <c r="O1727" s="338">
        <f t="shared" si="800"/>
        <v>0</v>
      </c>
      <c r="P1727" s="336">
        <f>P1693</f>
        <v>0</v>
      </c>
      <c r="Q1727" s="430">
        <f>Q1693</f>
        <v>0</v>
      </c>
      <c r="T1727" s="418"/>
    </row>
    <row r="1728" spans="3:20" ht="15" hidden="1" outlineLevel="2">
      <c r="C1728" s="1464"/>
      <c r="D1728" s="1464"/>
      <c r="E1728" s="1459"/>
      <c r="F1728" s="1462"/>
      <c r="G1728" s="350"/>
      <c r="H1728" s="335" t="s">
        <v>29</v>
      </c>
      <c r="I1728" s="336">
        <f>I1706</f>
        <v>0</v>
      </c>
      <c r="J1728" s="336">
        <f t="shared" ref="J1728:N1728" si="812">J1706</f>
        <v>0</v>
      </c>
      <c r="K1728" s="336">
        <f t="shared" si="812"/>
        <v>0</v>
      </c>
      <c r="L1728" s="336">
        <f t="shared" ref="L1728" si="813">L1706</f>
        <v>0</v>
      </c>
      <c r="M1728" s="336" t="str">
        <f t="shared" si="812"/>
        <v>Cash Security</v>
      </c>
      <c r="N1728" s="336">
        <f t="shared" si="812"/>
        <v>0</v>
      </c>
      <c r="O1728" s="338">
        <f t="shared" ref="O1728:O1791" si="814">IF(N1728=0,0,N1728/J1728)</f>
        <v>0</v>
      </c>
      <c r="P1728" s="336">
        <f t="shared" ref="P1728:Q1728" si="815">P1706</f>
        <v>0</v>
      </c>
      <c r="Q1728" s="430">
        <f t="shared" si="815"/>
        <v>0</v>
      </c>
      <c r="T1728" s="418"/>
    </row>
    <row r="1729" spans="3:20" ht="15" hidden="1" outlineLevel="2">
      <c r="C1729" s="1464"/>
      <c r="D1729" s="1464"/>
      <c r="E1729" s="1459"/>
      <c r="F1729" s="1462"/>
      <c r="G1729" s="350"/>
      <c r="H1729" s="340" t="s">
        <v>22</v>
      </c>
      <c r="I1729" s="336">
        <f>I1726</f>
        <v>0</v>
      </c>
      <c r="J1729" s="336">
        <f t="shared" ref="J1729:N1729" si="816">J1726</f>
        <v>0</v>
      </c>
      <c r="K1729" s="336">
        <f t="shared" si="816"/>
        <v>0</v>
      </c>
      <c r="L1729" s="336">
        <f t="shared" ref="L1729" si="817">L1726</f>
        <v>0</v>
      </c>
      <c r="M1729" s="336" t="str">
        <f t="shared" si="816"/>
        <v>Cash Security</v>
      </c>
      <c r="N1729" s="336">
        <f t="shared" si="816"/>
        <v>0</v>
      </c>
      <c r="O1729" s="338">
        <f t="shared" si="814"/>
        <v>0</v>
      </c>
      <c r="P1729" s="336">
        <f t="shared" ref="P1729:Q1729" si="818">P1726</f>
        <v>0</v>
      </c>
      <c r="Q1729" s="430">
        <f t="shared" si="818"/>
        <v>0</v>
      </c>
      <c r="T1729" s="418"/>
    </row>
    <row r="1730" spans="3:20" ht="15" hidden="1" outlineLevel="1" collapsed="1">
      <c r="C1730" s="1464"/>
      <c r="D1730" s="1464"/>
      <c r="E1730" s="1459"/>
      <c r="F1730" s="1463"/>
      <c r="G1730" s="1454" t="s">
        <v>177</v>
      </c>
      <c r="H1730" s="1455"/>
      <c r="I1730" s="359">
        <f>(I1727/usdrate)+(I1728*eurrate)+I1729</f>
        <v>0</v>
      </c>
      <c r="J1730" s="359">
        <f>(J1727/usdrate)+(J1728*eurrate)+J1729</f>
        <v>0</v>
      </c>
      <c r="K1730" s="359">
        <f>(K1727/usdrate)+(K1728*eurrate)+K1729</f>
        <v>0</v>
      </c>
      <c r="L1730" s="359">
        <f>(L1727/usdrate)+(L1728*eurrate)+L1729</f>
        <v>0</v>
      </c>
      <c r="M1730" s="360" t="s">
        <v>178</v>
      </c>
      <c r="N1730" s="359">
        <f>(N1727/usdrate)+(N1728*eurrate)+N1729</f>
        <v>0</v>
      </c>
      <c r="O1730" s="367">
        <f t="shared" si="814"/>
        <v>0</v>
      </c>
      <c r="P1730" s="359">
        <f>(P1727/usdrate)+(P1728*eurrate)+P1729</f>
        <v>0</v>
      </c>
      <c r="Q1730" s="435">
        <f>(Q1727/usdrate)+(Q1728*eurrate)+Q1729</f>
        <v>0</v>
      </c>
      <c r="T1730" s="418"/>
    </row>
    <row r="1731" spans="3:20" ht="15" hidden="1" outlineLevel="2">
      <c r="C1731" s="1464"/>
      <c r="D1731" s="1464"/>
      <c r="E1731" s="1459"/>
      <c r="F1731" s="1461" t="s">
        <v>174</v>
      </c>
      <c r="G1731" s="368"/>
      <c r="H1731" s="335" t="s">
        <v>4</v>
      </c>
      <c r="I1731" s="336"/>
      <c r="J1731" s="336"/>
      <c r="K1731" s="336"/>
      <c r="L1731" s="336"/>
      <c r="M1731" s="363"/>
      <c r="N1731" s="336"/>
      <c r="O1731" s="338">
        <f t="shared" si="814"/>
        <v>0</v>
      </c>
      <c r="P1731" s="336"/>
      <c r="Q1731" s="430"/>
      <c r="T1731" s="418"/>
    </row>
    <row r="1732" spans="3:20" ht="15" hidden="1" outlineLevel="2">
      <c r="C1732" s="1464"/>
      <c r="D1732" s="1464"/>
      <c r="E1732" s="1459"/>
      <c r="F1732" s="1462"/>
      <c r="G1732" s="368"/>
      <c r="H1732" s="335" t="s">
        <v>4</v>
      </c>
      <c r="I1732" s="336"/>
      <c r="J1732" s="336"/>
      <c r="K1732" s="336"/>
      <c r="L1732" s="336"/>
      <c r="M1732" s="363"/>
      <c r="N1732" s="336"/>
      <c r="O1732" s="338">
        <f t="shared" si="814"/>
        <v>0</v>
      </c>
      <c r="P1732" s="336"/>
      <c r="Q1732" s="430"/>
      <c r="T1732" s="418"/>
    </row>
    <row r="1733" spans="3:20" ht="15" hidden="1" outlineLevel="2">
      <c r="C1733" s="1464"/>
      <c r="D1733" s="1464"/>
      <c r="E1733" s="1459"/>
      <c r="F1733" s="1462"/>
      <c r="G1733" s="368"/>
      <c r="H1733" s="335" t="s">
        <v>4</v>
      </c>
      <c r="I1733" s="336"/>
      <c r="J1733" s="336"/>
      <c r="K1733" s="336"/>
      <c r="L1733" s="336"/>
      <c r="M1733" s="363"/>
      <c r="N1733" s="336"/>
      <c r="O1733" s="338">
        <f t="shared" si="814"/>
        <v>0</v>
      </c>
      <c r="P1733" s="336"/>
      <c r="Q1733" s="430"/>
      <c r="T1733" s="418"/>
    </row>
    <row r="1734" spans="3:20" ht="15" hidden="1" outlineLevel="2">
      <c r="C1734" s="1464"/>
      <c r="D1734" s="1464"/>
      <c r="E1734" s="1459"/>
      <c r="F1734" s="1462"/>
      <c r="G1734" s="368"/>
      <c r="H1734" s="335" t="s">
        <v>4</v>
      </c>
      <c r="I1734" s="336"/>
      <c r="J1734" s="336"/>
      <c r="K1734" s="336"/>
      <c r="L1734" s="336"/>
      <c r="M1734" s="363"/>
      <c r="N1734" s="336"/>
      <c r="O1734" s="338">
        <f t="shared" si="814"/>
        <v>0</v>
      </c>
      <c r="P1734" s="336"/>
      <c r="Q1734" s="430"/>
      <c r="T1734" s="418"/>
    </row>
    <row r="1735" spans="3:20" ht="15" hidden="1" outlineLevel="2">
      <c r="C1735" s="1464"/>
      <c r="D1735" s="1464"/>
      <c r="E1735" s="1459"/>
      <c r="F1735" s="1462"/>
      <c r="G1735" s="368"/>
      <c r="H1735" s="335" t="s">
        <v>4</v>
      </c>
      <c r="I1735" s="336"/>
      <c r="J1735" s="336"/>
      <c r="K1735" s="336"/>
      <c r="L1735" s="336"/>
      <c r="M1735" s="363"/>
      <c r="N1735" s="336"/>
      <c r="O1735" s="338">
        <f t="shared" si="814"/>
        <v>0</v>
      </c>
      <c r="P1735" s="336"/>
      <c r="Q1735" s="430"/>
      <c r="T1735" s="418"/>
    </row>
    <row r="1736" spans="3:20" ht="15" hidden="1" outlineLevel="2">
      <c r="C1736" s="1464"/>
      <c r="D1736" s="1464"/>
      <c r="E1736" s="1459"/>
      <c r="F1736" s="1462"/>
      <c r="G1736" s="368"/>
      <c r="H1736" s="335" t="s">
        <v>4</v>
      </c>
      <c r="I1736" s="336"/>
      <c r="J1736" s="336"/>
      <c r="K1736" s="336"/>
      <c r="L1736" s="336"/>
      <c r="M1736" s="363"/>
      <c r="N1736" s="336"/>
      <c r="O1736" s="338">
        <f t="shared" si="814"/>
        <v>0</v>
      </c>
      <c r="P1736" s="336"/>
      <c r="Q1736" s="430"/>
      <c r="T1736" s="418"/>
    </row>
    <row r="1737" spans="3:20" ht="15" hidden="1" outlineLevel="2">
      <c r="C1737" s="1464"/>
      <c r="D1737" s="1464"/>
      <c r="E1737" s="1459"/>
      <c r="F1737" s="1462"/>
      <c r="G1737" s="368"/>
      <c r="H1737" s="335" t="s">
        <v>4</v>
      </c>
      <c r="I1737" s="336"/>
      <c r="J1737" s="336"/>
      <c r="K1737" s="336"/>
      <c r="L1737" s="336"/>
      <c r="M1737" s="363"/>
      <c r="N1737" s="336"/>
      <c r="O1737" s="338">
        <f t="shared" si="814"/>
        <v>0</v>
      </c>
      <c r="P1737" s="336"/>
      <c r="Q1737" s="430"/>
      <c r="T1737" s="418"/>
    </row>
    <row r="1738" spans="3:20" ht="15" hidden="1" outlineLevel="2">
      <c r="C1738" s="1464"/>
      <c r="D1738" s="1464"/>
      <c r="E1738" s="1459"/>
      <c r="F1738" s="1462"/>
      <c r="G1738" s="368"/>
      <c r="H1738" s="335" t="s">
        <v>4</v>
      </c>
      <c r="I1738" s="336"/>
      <c r="J1738" s="336"/>
      <c r="K1738" s="336"/>
      <c r="L1738" s="336"/>
      <c r="M1738" s="363"/>
      <c r="N1738" s="336"/>
      <c r="O1738" s="338">
        <f t="shared" si="814"/>
        <v>0</v>
      </c>
      <c r="P1738" s="336"/>
      <c r="Q1738" s="430"/>
      <c r="T1738" s="418"/>
    </row>
    <row r="1739" spans="3:20" ht="15" hidden="1" outlineLevel="2">
      <c r="C1739" s="1464"/>
      <c r="D1739" s="1464"/>
      <c r="E1739" s="1459"/>
      <c r="F1739" s="1462"/>
      <c r="G1739" s="368"/>
      <c r="H1739" s="335" t="s">
        <v>4</v>
      </c>
      <c r="I1739" s="336"/>
      <c r="J1739" s="336"/>
      <c r="K1739" s="336"/>
      <c r="L1739" s="336"/>
      <c r="M1739" s="363"/>
      <c r="N1739" s="336"/>
      <c r="O1739" s="338">
        <f t="shared" si="814"/>
        <v>0</v>
      </c>
      <c r="P1739" s="336"/>
      <c r="Q1739" s="430"/>
      <c r="T1739" s="418"/>
    </row>
    <row r="1740" spans="3:20" ht="15" hidden="1" outlineLevel="2">
      <c r="C1740" s="1464"/>
      <c r="D1740" s="1464"/>
      <c r="E1740" s="1459"/>
      <c r="F1740" s="1462"/>
      <c r="G1740" s="368"/>
      <c r="H1740" s="335" t="s">
        <v>4</v>
      </c>
      <c r="I1740" s="336"/>
      <c r="J1740" s="336"/>
      <c r="K1740" s="336"/>
      <c r="L1740" s="336"/>
      <c r="M1740" s="363"/>
      <c r="N1740" s="336"/>
      <c r="O1740" s="338">
        <f t="shared" si="814"/>
        <v>0</v>
      </c>
      <c r="P1740" s="336"/>
      <c r="Q1740" s="430"/>
      <c r="T1740" s="418"/>
    </row>
    <row r="1741" spans="3:20" ht="15" hidden="1" outlineLevel="2">
      <c r="C1741" s="1464"/>
      <c r="D1741" s="1464"/>
      <c r="E1741" s="1459"/>
      <c r="F1741" s="1462"/>
      <c r="G1741" s="368"/>
      <c r="H1741" s="335" t="s">
        <v>4</v>
      </c>
      <c r="I1741" s="336"/>
      <c r="J1741" s="336"/>
      <c r="K1741" s="336"/>
      <c r="L1741" s="336"/>
      <c r="M1741" s="363"/>
      <c r="N1741" s="336"/>
      <c r="O1741" s="338">
        <f t="shared" si="814"/>
        <v>0</v>
      </c>
      <c r="P1741" s="336"/>
      <c r="Q1741" s="430"/>
      <c r="T1741" s="418"/>
    </row>
    <row r="1742" spans="3:20" ht="15" hidden="1" outlineLevel="2">
      <c r="C1742" s="1464"/>
      <c r="D1742" s="1464"/>
      <c r="E1742" s="1459"/>
      <c r="F1742" s="1462"/>
      <c r="G1742" s="368"/>
      <c r="H1742" s="335" t="s">
        <v>4</v>
      </c>
      <c r="I1742" s="336"/>
      <c r="J1742" s="336"/>
      <c r="K1742" s="336"/>
      <c r="L1742" s="336"/>
      <c r="M1742" s="363"/>
      <c r="N1742" s="336"/>
      <c r="O1742" s="338">
        <f t="shared" si="814"/>
        <v>0</v>
      </c>
      <c r="P1742" s="336"/>
      <c r="Q1742" s="430"/>
      <c r="T1742" s="418"/>
    </row>
    <row r="1743" spans="3:20" ht="15" hidden="1" outlineLevel="2">
      <c r="C1743" s="1464"/>
      <c r="D1743" s="1464"/>
      <c r="E1743" s="1459"/>
      <c r="F1743" s="1462"/>
      <c r="G1743" s="368"/>
      <c r="H1743" s="335" t="s">
        <v>4</v>
      </c>
      <c r="I1743" s="336"/>
      <c r="J1743" s="336"/>
      <c r="K1743" s="336"/>
      <c r="L1743" s="336"/>
      <c r="M1743" s="363"/>
      <c r="N1743" s="336"/>
      <c r="O1743" s="338">
        <f t="shared" si="814"/>
        <v>0</v>
      </c>
      <c r="P1743" s="336"/>
      <c r="Q1743" s="430"/>
      <c r="T1743" s="418"/>
    </row>
    <row r="1744" spans="3:20" ht="15" hidden="1" outlineLevel="2">
      <c r="C1744" s="1464"/>
      <c r="D1744" s="1464"/>
      <c r="E1744" s="1459"/>
      <c r="F1744" s="1462"/>
      <c r="G1744" s="368"/>
      <c r="H1744" s="335" t="s">
        <v>4</v>
      </c>
      <c r="I1744" s="336"/>
      <c r="J1744" s="336"/>
      <c r="K1744" s="336"/>
      <c r="L1744" s="336"/>
      <c r="M1744" s="363"/>
      <c r="N1744" s="336"/>
      <c r="O1744" s="338">
        <f t="shared" si="814"/>
        <v>0</v>
      </c>
      <c r="P1744" s="336"/>
      <c r="Q1744" s="430"/>
      <c r="T1744" s="418"/>
    </row>
    <row r="1745" spans="3:20" ht="15" hidden="1" outlineLevel="2">
      <c r="C1745" s="1464"/>
      <c r="D1745" s="1464"/>
      <c r="E1745" s="1459"/>
      <c r="F1745" s="1462"/>
      <c r="G1745" s="368"/>
      <c r="H1745" s="335" t="s">
        <v>4</v>
      </c>
      <c r="I1745" s="336"/>
      <c r="J1745" s="336"/>
      <c r="K1745" s="336"/>
      <c r="L1745" s="336"/>
      <c r="M1745" s="363"/>
      <c r="N1745" s="336"/>
      <c r="O1745" s="338">
        <f t="shared" si="814"/>
        <v>0</v>
      </c>
      <c r="P1745" s="336"/>
      <c r="Q1745" s="430"/>
      <c r="T1745" s="418"/>
    </row>
    <row r="1746" spans="3:20" ht="15" hidden="1" outlineLevel="2">
      <c r="C1746" s="1464"/>
      <c r="D1746" s="1464"/>
      <c r="E1746" s="1459"/>
      <c r="F1746" s="1462"/>
      <c r="G1746" s="368"/>
      <c r="H1746" s="335" t="s">
        <v>4</v>
      </c>
      <c r="I1746" s="336"/>
      <c r="J1746" s="336"/>
      <c r="K1746" s="336"/>
      <c r="L1746" s="336"/>
      <c r="M1746" s="363"/>
      <c r="N1746" s="336"/>
      <c r="O1746" s="338">
        <f t="shared" si="814"/>
        <v>0</v>
      </c>
      <c r="P1746" s="336"/>
      <c r="Q1746" s="430"/>
      <c r="T1746" s="418"/>
    </row>
    <row r="1747" spans="3:20" ht="15" hidden="1" outlineLevel="2">
      <c r="C1747" s="1464"/>
      <c r="D1747" s="1464"/>
      <c r="E1747" s="1459"/>
      <c r="F1747" s="1462"/>
      <c r="G1747" s="368"/>
      <c r="H1747" s="335" t="s">
        <v>4</v>
      </c>
      <c r="I1747" s="336"/>
      <c r="J1747" s="336"/>
      <c r="K1747" s="336"/>
      <c r="L1747" s="336"/>
      <c r="M1747" s="363"/>
      <c r="N1747" s="336"/>
      <c r="O1747" s="338">
        <f t="shared" si="814"/>
        <v>0</v>
      </c>
      <c r="P1747" s="336"/>
      <c r="Q1747" s="430"/>
      <c r="T1747" s="418"/>
    </row>
    <row r="1748" spans="3:20" ht="15" hidden="1" outlineLevel="2">
      <c r="C1748" s="1464"/>
      <c r="D1748" s="1464"/>
      <c r="E1748" s="1459"/>
      <c r="F1748" s="1462"/>
      <c r="G1748" s="368"/>
      <c r="H1748" s="335" t="s">
        <v>4</v>
      </c>
      <c r="I1748" s="336"/>
      <c r="J1748" s="336"/>
      <c r="K1748" s="336"/>
      <c r="L1748" s="336"/>
      <c r="M1748" s="363"/>
      <c r="N1748" s="336"/>
      <c r="O1748" s="338">
        <f t="shared" si="814"/>
        <v>0</v>
      </c>
      <c r="P1748" s="336"/>
      <c r="Q1748" s="430"/>
      <c r="T1748" s="418"/>
    </row>
    <row r="1749" spans="3:20" ht="15" hidden="1" outlineLevel="2">
      <c r="C1749" s="1464"/>
      <c r="D1749" s="1464"/>
      <c r="E1749" s="1459"/>
      <c r="F1749" s="1462"/>
      <c r="G1749" s="368"/>
      <c r="H1749" s="335" t="s">
        <v>4</v>
      </c>
      <c r="I1749" s="336"/>
      <c r="J1749" s="336"/>
      <c r="K1749" s="336"/>
      <c r="L1749" s="336"/>
      <c r="M1749" s="363"/>
      <c r="N1749" s="336"/>
      <c r="O1749" s="338">
        <f t="shared" si="814"/>
        <v>0</v>
      </c>
      <c r="P1749" s="336"/>
      <c r="Q1749" s="430"/>
      <c r="T1749" s="418"/>
    </row>
    <row r="1750" spans="3:20" ht="15" hidden="1" outlineLevel="2">
      <c r="C1750" s="1464"/>
      <c r="D1750" s="1464"/>
      <c r="E1750" s="1459"/>
      <c r="F1750" s="1462"/>
      <c r="G1750" s="368"/>
      <c r="H1750" s="335" t="s">
        <v>4</v>
      </c>
      <c r="I1750" s="336"/>
      <c r="J1750" s="336"/>
      <c r="K1750" s="336"/>
      <c r="L1750" s="336"/>
      <c r="M1750" s="363"/>
      <c r="N1750" s="336"/>
      <c r="O1750" s="338">
        <f t="shared" si="814"/>
        <v>0</v>
      </c>
      <c r="P1750" s="336"/>
      <c r="Q1750" s="430"/>
      <c r="T1750" s="418"/>
    </row>
    <row r="1751" spans="3:20" ht="15" hidden="1" outlineLevel="2">
      <c r="C1751" s="1464"/>
      <c r="D1751" s="1464"/>
      <c r="E1751" s="1459"/>
      <c r="F1751" s="1462"/>
      <c r="G1751" s="368"/>
      <c r="H1751" s="335" t="s">
        <v>4</v>
      </c>
      <c r="I1751" s="336"/>
      <c r="J1751" s="336"/>
      <c r="K1751" s="336"/>
      <c r="L1751" s="336"/>
      <c r="M1751" s="363"/>
      <c r="N1751" s="336"/>
      <c r="O1751" s="338">
        <f t="shared" si="814"/>
        <v>0</v>
      </c>
      <c r="P1751" s="336"/>
      <c r="Q1751" s="430"/>
      <c r="T1751" s="418"/>
    </row>
    <row r="1752" spans="3:20" ht="15" hidden="1" outlineLevel="2">
      <c r="C1752" s="1464"/>
      <c r="D1752" s="1464"/>
      <c r="E1752" s="1459"/>
      <c r="F1752" s="1462"/>
      <c r="G1752" s="368"/>
      <c r="H1752" s="335" t="s">
        <v>4</v>
      </c>
      <c r="I1752" s="336"/>
      <c r="J1752" s="336"/>
      <c r="K1752" s="336"/>
      <c r="L1752" s="336"/>
      <c r="M1752" s="363"/>
      <c r="N1752" s="336"/>
      <c r="O1752" s="338">
        <f t="shared" si="814"/>
        <v>0</v>
      </c>
      <c r="P1752" s="336"/>
      <c r="Q1752" s="430"/>
      <c r="T1752" s="418"/>
    </row>
    <row r="1753" spans="3:20" ht="15" hidden="1" outlineLevel="2">
      <c r="C1753" s="1464"/>
      <c r="D1753" s="1464"/>
      <c r="E1753" s="1459"/>
      <c r="F1753" s="1462"/>
      <c r="G1753" s="368"/>
      <c r="H1753" s="335" t="s">
        <v>4</v>
      </c>
      <c r="I1753" s="336"/>
      <c r="J1753" s="336"/>
      <c r="K1753" s="336"/>
      <c r="L1753" s="336"/>
      <c r="M1753" s="363"/>
      <c r="N1753" s="336"/>
      <c r="O1753" s="338">
        <f t="shared" si="814"/>
        <v>0</v>
      </c>
      <c r="P1753" s="336"/>
      <c r="Q1753" s="430"/>
      <c r="T1753" s="418"/>
    </row>
    <row r="1754" spans="3:20" ht="15" hidden="1" outlineLevel="2">
      <c r="C1754" s="1464"/>
      <c r="D1754" s="1464"/>
      <c r="E1754" s="1459"/>
      <c r="F1754" s="1462"/>
      <c r="G1754" s="368"/>
      <c r="H1754" s="335" t="s">
        <v>4</v>
      </c>
      <c r="I1754" s="336"/>
      <c r="J1754" s="336"/>
      <c r="K1754" s="336"/>
      <c r="L1754" s="336"/>
      <c r="M1754" s="363"/>
      <c r="N1754" s="336"/>
      <c r="O1754" s="338">
        <f t="shared" si="814"/>
        <v>0</v>
      </c>
      <c r="P1754" s="336"/>
      <c r="Q1754" s="430"/>
      <c r="T1754" s="418"/>
    </row>
    <row r="1755" spans="3:20" ht="15" hidden="1" outlineLevel="2">
      <c r="C1755" s="1464"/>
      <c r="D1755" s="1464"/>
      <c r="E1755" s="1459"/>
      <c r="F1755" s="1462"/>
      <c r="G1755" s="368"/>
      <c r="H1755" s="335" t="s">
        <v>4</v>
      </c>
      <c r="I1755" s="336"/>
      <c r="J1755" s="336"/>
      <c r="K1755" s="336"/>
      <c r="L1755" s="336"/>
      <c r="M1755" s="363"/>
      <c r="N1755" s="336"/>
      <c r="O1755" s="338">
        <f t="shared" si="814"/>
        <v>0</v>
      </c>
      <c r="P1755" s="336"/>
      <c r="Q1755" s="430"/>
      <c r="T1755" s="418"/>
    </row>
    <row r="1756" spans="3:20" ht="15" hidden="1" outlineLevel="2">
      <c r="C1756" s="1464"/>
      <c r="D1756" s="1464"/>
      <c r="E1756" s="1459"/>
      <c r="F1756" s="1462"/>
      <c r="G1756" s="368"/>
      <c r="H1756" s="335" t="s">
        <v>4</v>
      </c>
      <c r="I1756" s="336"/>
      <c r="J1756" s="336"/>
      <c r="K1756" s="336"/>
      <c r="L1756" s="336"/>
      <c r="M1756" s="363"/>
      <c r="N1756" s="336"/>
      <c r="O1756" s="338">
        <f t="shared" si="814"/>
        <v>0</v>
      </c>
      <c r="P1756" s="336"/>
      <c r="Q1756" s="430"/>
      <c r="T1756" s="418"/>
    </row>
    <row r="1757" spans="3:20" ht="15" hidden="1" outlineLevel="2">
      <c r="C1757" s="1464"/>
      <c r="D1757" s="1464"/>
      <c r="E1757" s="1459"/>
      <c r="F1757" s="1462"/>
      <c r="G1757" s="368"/>
      <c r="H1757" s="335" t="s">
        <v>4</v>
      </c>
      <c r="I1757" s="336"/>
      <c r="J1757" s="336"/>
      <c r="K1757" s="336"/>
      <c r="L1757" s="336"/>
      <c r="M1757" s="363"/>
      <c r="N1757" s="336"/>
      <c r="O1757" s="338">
        <f t="shared" si="814"/>
        <v>0</v>
      </c>
      <c r="P1757" s="336"/>
      <c r="Q1757" s="430"/>
      <c r="T1757" s="418"/>
    </row>
    <row r="1758" spans="3:20" ht="15" hidden="1" outlineLevel="2">
      <c r="C1758" s="1464"/>
      <c r="D1758" s="1464"/>
      <c r="E1758" s="1459"/>
      <c r="F1758" s="1462"/>
      <c r="G1758" s="368"/>
      <c r="H1758" s="335" t="s">
        <v>4</v>
      </c>
      <c r="I1758" s="336"/>
      <c r="J1758" s="336"/>
      <c r="K1758" s="336"/>
      <c r="L1758" s="336"/>
      <c r="M1758" s="363"/>
      <c r="N1758" s="336"/>
      <c r="O1758" s="338">
        <f t="shared" si="814"/>
        <v>0</v>
      </c>
      <c r="P1758" s="336"/>
      <c r="Q1758" s="430"/>
      <c r="T1758" s="418"/>
    </row>
    <row r="1759" spans="3:20" ht="15" hidden="1" outlineLevel="2">
      <c r="C1759" s="1464"/>
      <c r="D1759" s="1464"/>
      <c r="E1759" s="1459"/>
      <c r="F1759" s="1462"/>
      <c r="G1759" s="1454" t="s">
        <v>45</v>
      </c>
      <c r="H1759" s="1455"/>
      <c r="I1759" s="359">
        <f>SUM(I1731:I1758)</f>
        <v>0</v>
      </c>
      <c r="J1759" s="359">
        <f>SUM(J1731:J1758)</f>
        <v>0</v>
      </c>
      <c r="K1759" s="359">
        <f t="shared" ref="K1759:L1759" si="819">SUM(K1747:K1758)</f>
        <v>0</v>
      </c>
      <c r="L1759" s="359">
        <f t="shared" si="819"/>
        <v>0</v>
      </c>
      <c r="M1759" s="360" t="s">
        <v>43</v>
      </c>
      <c r="N1759" s="359">
        <f>SUM(N1731:N1758)</f>
        <v>0</v>
      </c>
      <c r="O1759" s="361">
        <f t="shared" si="814"/>
        <v>0</v>
      </c>
      <c r="P1759" s="359">
        <f>SUM(P1731:P1758)</f>
        <v>0</v>
      </c>
      <c r="Q1759" s="435">
        <f>SUM(Q1731:Q1758)</f>
        <v>0</v>
      </c>
      <c r="T1759" s="418"/>
    </row>
    <row r="1760" spans="3:20" ht="15" hidden="1" outlineLevel="2">
      <c r="C1760" s="1464"/>
      <c r="D1760" s="1464"/>
      <c r="E1760" s="1459"/>
      <c r="F1760" s="1462"/>
      <c r="G1760" s="353"/>
      <c r="H1760" s="340" t="s">
        <v>29</v>
      </c>
      <c r="I1760" s="341"/>
      <c r="J1760" s="336"/>
      <c r="K1760" s="336"/>
      <c r="L1760" s="336"/>
      <c r="M1760" s="363"/>
      <c r="N1760" s="336"/>
      <c r="O1760" s="338">
        <f t="shared" si="814"/>
        <v>0</v>
      </c>
      <c r="P1760" s="336"/>
      <c r="Q1760" s="430"/>
      <c r="T1760" s="418"/>
    </row>
    <row r="1761" spans="3:20" ht="15" hidden="1" outlineLevel="2">
      <c r="C1761" s="1464"/>
      <c r="D1761" s="1464"/>
      <c r="E1761" s="1459"/>
      <c r="F1761" s="1462"/>
      <c r="G1761" s="353"/>
      <c r="H1761" s="340" t="s">
        <v>29</v>
      </c>
      <c r="I1761" s="341"/>
      <c r="J1761" s="336"/>
      <c r="K1761" s="336"/>
      <c r="L1761" s="336"/>
      <c r="M1761" s="363"/>
      <c r="N1761" s="336"/>
      <c r="O1761" s="338">
        <f t="shared" si="814"/>
        <v>0</v>
      </c>
      <c r="P1761" s="336"/>
      <c r="Q1761" s="430"/>
      <c r="T1761" s="418"/>
    </row>
    <row r="1762" spans="3:20" ht="15" hidden="1" outlineLevel="2">
      <c r="C1762" s="1464"/>
      <c r="D1762" s="1464"/>
      <c r="E1762" s="1459"/>
      <c r="F1762" s="1462"/>
      <c r="G1762" s="353"/>
      <c r="H1762" s="340" t="s">
        <v>29</v>
      </c>
      <c r="I1762" s="341"/>
      <c r="J1762" s="336"/>
      <c r="K1762" s="336"/>
      <c r="L1762" s="336"/>
      <c r="M1762" s="363"/>
      <c r="N1762" s="336"/>
      <c r="O1762" s="338">
        <f t="shared" si="814"/>
        <v>0</v>
      </c>
      <c r="P1762" s="336"/>
      <c r="Q1762" s="430"/>
      <c r="T1762" s="418"/>
    </row>
    <row r="1763" spans="3:20" ht="15" hidden="1" outlineLevel="2">
      <c r="C1763" s="1464"/>
      <c r="D1763" s="1464"/>
      <c r="E1763" s="1459"/>
      <c r="F1763" s="1462"/>
      <c r="G1763" s="353"/>
      <c r="H1763" s="340" t="s">
        <v>29</v>
      </c>
      <c r="I1763" s="341"/>
      <c r="J1763" s="336"/>
      <c r="K1763" s="336"/>
      <c r="L1763" s="336"/>
      <c r="M1763" s="363"/>
      <c r="N1763" s="336"/>
      <c r="O1763" s="338">
        <f t="shared" si="814"/>
        <v>0</v>
      </c>
      <c r="P1763" s="336"/>
      <c r="Q1763" s="430"/>
      <c r="T1763" s="418"/>
    </row>
    <row r="1764" spans="3:20" ht="15" hidden="1" outlineLevel="2">
      <c r="C1764" s="1464"/>
      <c r="D1764" s="1464"/>
      <c r="E1764" s="1459"/>
      <c r="F1764" s="1462"/>
      <c r="G1764" s="353"/>
      <c r="H1764" s="340" t="s">
        <v>29</v>
      </c>
      <c r="I1764" s="341"/>
      <c r="J1764" s="336"/>
      <c r="K1764" s="336"/>
      <c r="L1764" s="336"/>
      <c r="M1764" s="363"/>
      <c r="N1764" s="336"/>
      <c r="O1764" s="338">
        <f t="shared" si="814"/>
        <v>0</v>
      </c>
      <c r="P1764" s="336"/>
      <c r="Q1764" s="430"/>
      <c r="T1764" s="418"/>
    </row>
    <row r="1765" spans="3:20" ht="15" hidden="1" outlineLevel="2">
      <c r="C1765" s="1464"/>
      <c r="D1765" s="1464"/>
      <c r="E1765" s="1459"/>
      <c r="F1765" s="1462"/>
      <c r="G1765" s="353"/>
      <c r="H1765" s="340" t="s">
        <v>29</v>
      </c>
      <c r="I1765" s="341"/>
      <c r="J1765" s="336"/>
      <c r="K1765" s="336"/>
      <c r="L1765" s="336"/>
      <c r="M1765" s="363"/>
      <c r="N1765" s="336"/>
      <c r="O1765" s="338">
        <f t="shared" si="814"/>
        <v>0</v>
      </c>
      <c r="P1765" s="336"/>
      <c r="Q1765" s="430"/>
      <c r="T1765" s="418"/>
    </row>
    <row r="1766" spans="3:20" ht="15" hidden="1" outlineLevel="2">
      <c r="C1766" s="1464"/>
      <c r="D1766" s="1464"/>
      <c r="E1766" s="1459"/>
      <c r="F1766" s="1462"/>
      <c r="G1766" s="353"/>
      <c r="H1766" s="340" t="s">
        <v>29</v>
      </c>
      <c r="I1766" s="341"/>
      <c r="J1766" s="336"/>
      <c r="K1766" s="336"/>
      <c r="L1766" s="336"/>
      <c r="M1766" s="363"/>
      <c r="N1766" s="336"/>
      <c r="O1766" s="338">
        <f t="shared" si="814"/>
        <v>0</v>
      </c>
      <c r="P1766" s="336"/>
      <c r="Q1766" s="430"/>
      <c r="T1766" s="418"/>
    </row>
    <row r="1767" spans="3:20" ht="15" hidden="1" outlineLevel="2">
      <c r="C1767" s="1464"/>
      <c r="D1767" s="1464"/>
      <c r="E1767" s="1459"/>
      <c r="F1767" s="1462"/>
      <c r="G1767" s="353"/>
      <c r="H1767" s="340" t="s">
        <v>29</v>
      </c>
      <c r="I1767" s="341"/>
      <c r="J1767" s="336"/>
      <c r="K1767" s="336"/>
      <c r="L1767" s="336"/>
      <c r="M1767" s="363"/>
      <c r="N1767" s="336"/>
      <c r="O1767" s="338">
        <f t="shared" si="814"/>
        <v>0</v>
      </c>
      <c r="P1767" s="336"/>
      <c r="Q1767" s="430"/>
      <c r="T1767" s="418"/>
    </row>
    <row r="1768" spans="3:20" ht="15" hidden="1" outlineLevel="2">
      <c r="C1768" s="1464"/>
      <c r="D1768" s="1464"/>
      <c r="E1768" s="1459"/>
      <c r="F1768" s="1462"/>
      <c r="G1768" s="353"/>
      <c r="H1768" s="340" t="s">
        <v>29</v>
      </c>
      <c r="I1768" s="341"/>
      <c r="J1768" s="336"/>
      <c r="K1768" s="336"/>
      <c r="L1768" s="336"/>
      <c r="M1768" s="363"/>
      <c r="N1768" s="336"/>
      <c r="O1768" s="338">
        <f t="shared" si="814"/>
        <v>0</v>
      </c>
      <c r="P1768" s="336"/>
      <c r="Q1768" s="430"/>
      <c r="T1768" s="418"/>
    </row>
    <row r="1769" spans="3:20" ht="15" hidden="1" outlineLevel="2">
      <c r="C1769" s="1464"/>
      <c r="D1769" s="1464"/>
      <c r="E1769" s="1459"/>
      <c r="F1769" s="1462"/>
      <c r="G1769" s="353"/>
      <c r="H1769" s="340" t="s">
        <v>29</v>
      </c>
      <c r="I1769" s="341"/>
      <c r="J1769" s="336"/>
      <c r="K1769" s="336"/>
      <c r="L1769" s="336"/>
      <c r="M1769" s="363"/>
      <c r="N1769" s="336"/>
      <c r="O1769" s="338">
        <f t="shared" si="814"/>
        <v>0</v>
      </c>
      <c r="P1769" s="336"/>
      <c r="Q1769" s="430"/>
      <c r="T1769" s="418"/>
    </row>
    <row r="1770" spans="3:20" ht="15" hidden="1" outlineLevel="2">
      <c r="C1770" s="1464"/>
      <c r="D1770" s="1464"/>
      <c r="E1770" s="1459"/>
      <c r="F1770" s="1462"/>
      <c r="G1770" s="353"/>
      <c r="H1770" s="340" t="s">
        <v>29</v>
      </c>
      <c r="I1770" s="341"/>
      <c r="J1770" s="336"/>
      <c r="K1770" s="336"/>
      <c r="L1770" s="336"/>
      <c r="M1770" s="363"/>
      <c r="N1770" s="336"/>
      <c r="O1770" s="338">
        <f t="shared" si="814"/>
        <v>0</v>
      </c>
      <c r="P1770" s="336"/>
      <c r="Q1770" s="430"/>
      <c r="T1770" s="418"/>
    </row>
    <row r="1771" spans="3:20" ht="15" hidden="1" outlineLevel="2">
      <c r="C1771" s="1464"/>
      <c r="D1771" s="1464"/>
      <c r="E1771" s="1459"/>
      <c r="F1771" s="1462"/>
      <c r="G1771" s="353"/>
      <c r="H1771" s="340" t="s">
        <v>29</v>
      </c>
      <c r="I1771" s="341"/>
      <c r="J1771" s="336"/>
      <c r="K1771" s="336"/>
      <c r="L1771" s="336"/>
      <c r="M1771" s="363"/>
      <c r="N1771" s="336"/>
      <c r="O1771" s="338">
        <f t="shared" si="814"/>
        <v>0</v>
      </c>
      <c r="P1771" s="336"/>
      <c r="Q1771" s="430"/>
      <c r="T1771" s="418"/>
    </row>
    <row r="1772" spans="3:20" ht="15" hidden="1" outlineLevel="2">
      <c r="C1772" s="1464"/>
      <c r="D1772" s="1464"/>
      <c r="E1772" s="1459"/>
      <c r="F1772" s="1462"/>
      <c r="G1772" s="1454" t="s">
        <v>50</v>
      </c>
      <c r="H1772" s="1455"/>
      <c r="I1772" s="359">
        <f>SUM(I1760:I1771)</f>
        <v>0</v>
      </c>
      <c r="J1772" s="359">
        <f t="shared" ref="J1772" si="820">SUM(J1760:J1771)</f>
        <v>0</v>
      </c>
      <c r="K1772" s="359">
        <f>SUM(K1760:K1771)</f>
        <v>0</v>
      </c>
      <c r="L1772" s="359">
        <f>SUM(L1760:L1771)</f>
        <v>0</v>
      </c>
      <c r="M1772" s="360" t="s">
        <v>43</v>
      </c>
      <c r="N1772" s="359">
        <f>SUM(N1760:N1771)</f>
        <v>0</v>
      </c>
      <c r="O1772" s="361">
        <f t="shared" si="814"/>
        <v>0</v>
      </c>
      <c r="P1772" s="359">
        <f t="shared" ref="P1772:Q1772" si="821">SUM(P1760:P1771)</f>
        <v>0</v>
      </c>
      <c r="Q1772" s="435">
        <f t="shared" si="821"/>
        <v>0</v>
      </c>
      <c r="T1772" s="418"/>
    </row>
    <row r="1773" spans="3:20" ht="15" hidden="1" outlineLevel="2">
      <c r="C1773" s="1464"/>
      <c r="D1773" s="1464"/>
      <c r="E1773" s="1459"/>
      <c r="F1773" s="1462"/>
      <c r="G1773" s="353"/>
      <c r="H1773" s="340" t="s">
        <v>22</v>
      </c>
      <c r="I1773" s="341"/>
      <c r="J1773" s="341">
        <v>0</v>
      </c>
      <c r="K1773" s="341"/>
      <c r="L1773" s="341"/>
      <c r="M1773" s="410"/>
      <c r="N1773" s="341"/>
      <c r="O1773" s="357">
        <f t="shared" si="814"/>
        <v>0</v>
      </c>
      <c r="P1773" s="341">
        <v>0</v>
      </c>
      <c r="Q1773" s="431">
        <v>0</v>
      </c>
      <c r="T1773" s="418"/>
    </row>
    <row r="1774" spans="3:20" ht="15" hidden="1" outlineLevel="2">
      <c r="C1774" s="1464"/>
      <c r="D1774" s="1464"/>
      <c r="E1774" s="1459"/>
      <c r="F1774" s="1462"/>
      <c r="G1774" s="353"/>
      <c r="H1774" s="340" t="s">
        <v>22</v>
      </c>
      <c r="I1774" s="341"/>
      <c r="J1774" s="341">
        <v>0</v>
      </c>
      <c r="K1774" s="341"/>
      <c r="L1774" s="341"/>
      <c r="M1774" s="410"/>
      <c r="N1774" s="341"/>
      <c r="O1774" s="357">
        <f t="shared" si="814"/>
        <v>0</v>
      </c>
      <c r="P1774" s="341">
        <v>0</v>
      </c>
      <c r="Q1774" s="431">
        <v>0</v>
      </c>
      <c r="T1774" s="418"/>
    </row>
    <row r="1775" spans="3:20" ht="15" hidden="1" outlineLevel="2">
      <c r="C1775" s="1464"/>
      <c r="D1775" s="1464"/>
      <c r="E1775" s="1459"/>
      <c r="F1775" s="1462"/>
      <c r="G1775" s="353"/>
      <c r="H1775" s="340" t="s">
        <v>22</v>
      </c>
      <c r="I1775" s="341"/>
      <c r="J1775" s="341">
        <v>0</v>
      </c>
      <c r="K1775" s="341"/>
      <c r="L1775" s="341"/>
      <c r="M1775" s="410"/>
      <c r="N1775" s="341"/>
      <c r="O1775" s="357">
        <f t="shared" si="814"/>
        <v>0</v>
      </c>
      <c r="P1775" s="341">
        <v>0</v>
      </c>
      <c r="Q1775" s="431">
        <v>0</v>
      </c>
      <c r="T1775" s="418"/>
    </row>
    <row r="1776" spans="3:20" ht="15" hidden="1" outlineLevel="2">
      <c r="C1776" s="1464"/>
      <c r="D1776" s="1464"/>
      <c r="E1776" s="1459"/>
      <c r="F1776" s="1462"/>
      <c r="G1776" s="353"/>
      <c r="H1776" s="340" t="s">
        <v>22</v>
      </c>
      <c r="I1776" s="341"/>
      <c r="J1776" s="341">
        <v>0</v>
      </c>
      <c r="K1776" s="341"/>
      <c r="L1776" s="341"/>
      <c r="M1776" s="410"/>
      <c r="N1776" s="341"/>
      <c r="O1776" s="357">
        <f t="shared" si="814"/>
        <v>0</v>
      </c>
      <c r="P1776" s="341">
        <v>0</v>
      </c>
      <c r="Q1776" s="431">
        <v>0</v>
      </c>
      <c r="T1776" s="418"/>
    </row>
    <row r="1777" spans="3:20" ht="15" hidden="1" outlineLevel="2">
      <c r="C1777" s="1464"/>
      <c r="D1777" s="1464"/>
      <c r="E1777" s="1459"/>
      <c r="F1777" s="1462"/>
      <c r="G1777" s="353"/>
      <c r="H1777" s="340" t="s">
        <v>22</v>
      </c>
      <c r="I1777" s="341"/>
      <c r="J1777" s="341">
        <v>0</v>
      </c>
      <c r="K1777" s="341"/>
      <c r="L1777" s="341"/>
      <c r="M1777" s="410"/>
      <c r="N1777" s="341"/>
      <c r="O1777" s="357">
        <f t="shared" si="814"/>
        <v>0</v>
      </c>
      <c r="P1777" s="341">
        <v>0</v>
      </c>
      <c r="Q1777" s="431">
        <v>0</v>
      </c>
      <c r="T1777" s="418"/>
    </row>
    <row r="1778" spans="3:20" ht="15" hidden="1" outlineLevel="2">
      <c r="C1778" s="1464"/>
      <c r="D1778" s="1464"/>
      <c r="E1778" s="1459"/>
      <c r="F1778" s="1462"/>
      <c r="G1778" s="353"/>
      <c r="H1778" s="340" t="s">
        <v>22</v>
      </c>
      <c r="I1778" s="341"/>
      <c r="J1778" s="341">
        <v>0</v>
      </c>
      <c r="K1778" s="341"/>
      <c r="L1778" s="341"/>
      <c r="M1778" s="410"/>
      <c r="N1778" s="341"/>
      <c r="O1778" s="357">
        <f t="shared" si="814"/>
        <v>0</v>
      </c>
      <c r="P1778" s="341">
        <v>0</v>
      </c>
      <c r="Q1778" s="431">
        <v>0</v>
      </c>
      <c r="T1778" s="418"/>
    </row>
    <row r="1779" spans="3:20" ht="15" hidden="1" outlineLevel="2">
      <c r="C1779" s="1464"/>
      <c r="D1779" s="1464"/>
      <c r="E1779" s="1459"/>
      <c r="F1779" s="1462"/>
      <c r="G1779" s="353"/>
      <c r="H1779" s="340" t="s">
        <v>22</v>
      </c>
      <c r="I1779" s="341"/>
      <c r="J1779" s="341">
        <v>0</v>
      </c>
      <c r="K1779" s="341"/>
      <c r="L1779" s="341"/>
      <c r="M1779" s="410"/>
      <c r="N1779" s="341"/>
      <c r="O1779" s="357">
        <f t="shared" si="814"/>
        <v>0</v>
      </c>
      <c r="P1779" s="341">
        <v>0</v>
      </c>
      <c r="Q1779" s="431">
        <v>0</v>
      </c>
      <c r="T1779" s="418"/>
    </row>
    <row r="1780" spans="3:20" ht="15" hidden="1" outlineLevel="2">
      <c r="C1780" s="1464"/>
      <c r="D1780" s="1464"/>
      <c r="E1780" s="1459"/>
      <c r="F1780" s="1462"/>
      <c r="G1780" s="353"/>
      <c r="H1780" s="340" t="s">
        <v>22</v>
      </c>
      <c r="I1780" s="341"/>
      <c r="J1780" s="341">
        <v>0</v>
      </c>
      <c r="K1780" s="341"/>
      <c r="L1780" s="341"/>
      <c r="M1780" s="410"/>
      <c r="N1780" s="341"/>
      <c r="O1780" s="357">
        <f t="shared" si="814"/>
        <v>0</v>
      </c>
      <c r="P1780" s="341">
        <v>0</v>
      </c>
      <c r="Q1780" s="431">
        <v>0</v>
      </c>
      <c r="T1780" s="418"/>
    </row>
    <row r="1781" spans="3:20" ht="15" hidden="1" outlineLevel="2">
      <c r="C1781" s="1464"/>
      <c r="D1781" s="1464"/>
      <c r="E1781" s="1459"/>
      <c r="F1781" s="1462"/>
      <c r="G1781" s="353"/>
      <c r="H1781" s="340" t="s">
        <v>22</v>
      </c>
      <c r="I1781" s="341"/>
      <c r="J1781" s="341">
        <v>0</v>
      </c>
      <c r="K1781" s="341"/>
      <c r="L1781" s="341"/>
      <c r="M1781" s="410"/>
      <c r="N1781" s="341"/>
      <c r="O1781" s="357">
        <f t="shared" si="814"/>
        <v>0</v>
      </c>
      <c r="P1781" s="341">
        <v>0</v>
      </c>
      <c r="Q1781" s="431">
        <v>0</v>
      </c>
      <c r="T1781" s="418"/>
    </row>
    <row r="1782" spans="3:20" ht="15" hidden="1" outlineLevel="2">
      <c r="C1782" s="1464"/>
      <c r="D1782" s="1464"/>
      <c r="E1782" s="1459"/>
      <c r="F1782" s="1462"/>
      <c r="G1782" s="353"/>
      <c r="H1782" s="340" t="s">
        <v>22</v>
      </c>
      <c r="I1782" s="341"/>
      <c r="J1782" s="341">
        <v>0</v>
      </c>
      <c r="K1782" s="341"/>
      <c r="L1782" s="341"/>
      <c r="M1782" s="410"/>
      <c r="N1782" s="341"/>
      <c r="O1782" s="357">
        <f t="shared" si="814"/>
        <v>0</v>
      </c>
      <c r="P1782" s="341">
        <v>0</v>
      </c>
      <c r="Q1782" s="431">
        <v>0</v>
      </c>
      <c r="T1782" s="418"/>
    </row>
    <row r="1783" spans="3:20" ht="15" hidden="1" outlineLevel="2">
      <c r="C1783" s="1464"/>
      <c r="D1783" s="1464"/>
      <c r="E1783" s="1459"/>
      <c r="F1783" s="1462"/>
      <c r="G1783" s="353"/>
      <c r="H1783" s="340" t="s">
        <v>22</v>
      </c>
      <c r="I1783" s="341"/>
      <c r="J1783" s="341">
        <v>0</v>
      </c>
      <c r="K1783" s="341"/>
      <c r="L1783" s="341"/>
      <c r="M1783" s="410"/>
      <c r="N1783" s="341"/>
      <c r="O1783" s="357">
        <f t="shared" si="814"/>
        <v>0</v>
      </c>
      <c r="P1783" s="341">
        <v>0</v>
      </c>
      <c r="Q1783" s="431">
        <v>0</v>
      </c>
      <c r="T1783" s="418"/>
    </row>
    <row r="1784" spans="3:20" ht="15" hidden="1" outlineLevel="2">
      <c r="C1784" s="1464"/>
      <c r="D1784" s="1464"/>
      <c r="E1784" s="1459"/>
      <c r="F1784" s="1462"/>
      <c r="G1784" s="353"/>
      <c r="H1784" s="340" t="s">
        <v>22</v>
      </c>
      <c r="I1784" s="341"/>
      <c r="J1784" s="341">
        <v>0</v>
      </c>
      <c r="K1784" s="341"/>
      <c r="L1784" s="341"/>
      <c r="M1784" s="410"/>
      <c r="N1784" s="341"/>
      <c r="O1784" s="357">
        <f t="shared" si="814"/>
        <v>0</v>
      </c>
      <c r="P1784" s="341">
        <v>0</v>
      </c>
      <c r="Q1784" s="431">
        <v>0</v>
      </c>
      <c r="T1784" s="418"/>
    </row>
    <row r="1785" spans="3:20" ht="15" hidden="1" outlineLevel="2">
      <c r="C1785" s="1464"/>
      <c r="D1785" s="1464"/>
      <c r="E1785" s="1459"/>
      <c r="F1785" s="1462"/>
      <c r="G1785" s="353"/>
      <c r="H1785" s="340" t="s">
        <v>22</v>
      </c>
      <c r="I1785" s="341"/>
      <c r="J1785" s="341">
        <v>0</v>
      </c>
      <c r="K1785" s="341"/>
      <c r="L1785" s="341"/>
      <c r="M1785" s="410"/>
      <c r="N1785" s="341"/>
      <c r="O1785" s="357">
        <f t="shared" si="814"/>
        <v>0</v>
      </c>
      <c r="P1785" s="341">
        <v>0</v>
      </c>
      <c r="Q1785" s="431">
        <v>0</v>
      </c>
      <c r="T1785" s="418"/>
    </row>
    <row r="1786" spans="3:20" ht="15" hidden="1" outlineLevel="2">
      <c r="C1786" s="1464"/>
      <c r="D1786" s="1464"/>
      <c r="E1786" s="1459"/>
      <c r="F1786" s="1462"/>
      <c r="G1786" s="353"/>
      <c r="H1786" s="340" t="s">
        <v>22</v>
      </c>
      <c r="I1786" s="341"/>
      <c r="J1786" s="341">
        <v>0</v>
      </c>
      <c r="K1786" s="341"/>
      <c r="L1786" s="341"/>
      <c r="M1786" s="410"/>
      <c r="N1786" s="341"/>
      <c r="O1786" s="357">
        <f t="shared" si="814"/>
        <v>0</v>
      </c>
      <c r="P1786" s="341">
        <v>0</v>
      </c>
      <c r="Q1786" s="431">
        <v>0</v>
      </c>
      <c r="T1786" s="418"/>
    </row>
    <row r="1787" spans="3:20" ht="15" hidden="1" outlineLevel="2">
      <c r="C1787" s="1464"/>
      <c r="D1787" s="1464"/>
      <c r="E1787" s="1459"/>
      <c r="F1787" s="1462"/>
      <c r="G1787" s="353"/>
      <c r="H1787" s="340" t="s">
        <v>22</v>
      </c>
      <c r="I1787" s="341"/>
      <c r="J1787" s="341">
        <v>0</v>
      </c>
      <c r="K1787" s="341"/>
      <c r="L1787" s="341"/>
      <c r="M1787" s="410"/>
      <c r="N1787" s="341"/>
      <c r="O1787" s="357">
        <f t="shared" si="814"/>
        <v>0</v>
      </c>
      <c r="P1787" s="341">
        <v>0</v>
      </c>
      <c r="Q1787" s="431">
        <v>0</v>
      </c>
      <c r="T1787" s="418"/>
    </row>
    <row r="1788" spans="3:20" ht="15" hidden="1" outlineLevel="2">
      <c r="C1788" s="1464"/>
      <c r="D1788" s="1464"/>
      <c r="E1788" s="1459"/>
      <c r="F1788" s="1462"/>
      <c r="G1788" s="353"/>
      <c r="H1788" s="340" t="s">
        <v>22</v>
      </c>
      <c r="I1788" s="341"/>
      <c r="J1788" s="341">
        <v>0</v>
      </c>
      <c r="K1788" s="341"/>
      <c r="L1788" s="341"/>
      <c r="M1788" s="410"/>
      <c r="N1788" s="341"/>
      <c r="O1788" s="357">
        <f t="shared" si="814"/>
        <v>0</v>
      </c>
      <c r="P1788" s="341">
        <v>0</v>
      </c>
      <c r="Q1788" s="431">
        <v>0</v>
      </c>
      <c r="T1788" s="418"/>
    </row>
    <row r="1789" spans="3:20" ht="15" hidden="1" outlineLevel="2">
      <c r="C1789" s="1464"/>
      <c r="D1789" s="1464"/>
      <c r="E1789" s="1459"/>
      <c r="F1789" s="1462"/>
      <c r="G1789" s="353"/>
      <c r="H1789" s="340" t="s">
        <v>22</v>
      </c>
      <c r="I1789" s="341"/>
      <c r="J1789" s="341">
        <v>0</v>
      </c>
      <c r="K1789" s="341"/>
      <c r="L1789" s="341"/>
      <c r="M1789" s="410"/>
      <c r="N1789" s="341"/>
      <c r="O1789" s="357">
        <f t="shared" si="814"/>
        <v>0</v>
      </c>
      <c r="P1789" s="341">
        <v>0</v>
      </c>
      <c r="Q1789" s="431">
        <v>0</v>
      </c>
      <c r="T1789" s="418"/>
    </row>
    <row r="1790" spans="3:20" ht="15" hidden="1" outlineLevel="2">
      <c r="C1790" s="1464"/>
      <c r="D1790" s="1464"/>
      <c r="E1790" s="1459"/>
      <c r="F1790" s="1462"/>
      <c r="G1790" s="353"/>
      <c r="H1790" s="340" t="s">
        <v>22</v>
      </c>
      <c r="I1790" s="341"/>
      <c r="J1790" s="341">
        <v>0</v>
      </c>
      <c r="K1790" s="341"/>
      <c r="L1790" s="341"/>
      <c r="M1790" s="410"/>
      <c r="N1790" s="341"/>
      <c r="O1790" s="357">
        <f t="shared" si="814"/>
        <v>0</v>
      </c>
      <c r="P1790" s="341">
        <v>0</v>
      </c>
      <c r="Q1790" s="431">
        <v>0</v>
      </c>
      <c r="T1790" s="418"/>
    </row>
    <row r="1791" spans="3:20" ht="15" hidden="1" outlineLevel="2">
      <c r="C1791" s="1464"/>
      <c r="D1791" s="1464"/>
      <c r="E1791" s="1459"/>
      <c r="F1791" s="1462"/>
      <c r="G1791" s="353"/>
      <c r="H1791" s="340" t="s">
        <v>22</v>
      </c>
      <c r="I1791" s="341"/>
      <c r="J1791" s="341">
        <v>0</v>
      </c>
      <c r="K1791" s="341"/>
      <c r="L1791" s="341"/>
      <c r="M1791" s="410"/>
      <c r="N1791" s="341"/>
      <c r="O1791" s="357">
        <f t="shared" si="814"/>
        <v>0</v>
      </c>
      <c r="P1791" s="341">
        <v>0</v>
      </c>
      <c r="Q1791" s="431">
        <v>0</v>
      </c>
      <c r="T1791" s="418"/>
    </row>
    <row r="1792" spans="3:20" ht="15" hidden="1" outlineLevel="2">
      <c r="C1792" s="1464"/>
      <c r="D1792" s="1464"/>
      <c r="E1792" s="1459"/>
      <c r="F1792" s="1462"/>
      <c r="G1792" s="1454" t="s">
        <v>44</v>
      </c>
      <c r="H1792" s="1455"/>
      <c r="I1792" s="365">
        <f>SUM(I1773:I1791)</f>
        <v>0</v>
      </c>
      <c r="J1792" s="365">
        <f t="shared" ref="J1792:K1792" si="822">SUM(J1773:J1791)</f>
        <v>0</v>
      </c>
      <c r="K1792" s="365">
        <f t="shared" si="822"/>
        <v>0</v>
      </c>
      <c r="L1792" s="365">
        <f t="shared" ref="L1792" si="823">SUM(L1773:L1791)</f>
        <v>0</v>
      </c>
      <c r="M1792" s="366" t="s">
        <v>43</v>
      </c>
      <c r="N1792" s="365">
        <f t="shared" ref="N1792" si="824">SUM(N1773:N1791)</f>
        <v>0</v>
      </c>
      <c r="O1792" s="361">
        <f t="shared" ref="O1792:O1855" si="825">IF(N1792=0,0,N1792/J1792)</f>
        <v>0</v>
      </c>
      <c r="P1792" s="365">
        <f t="shared" ref="P1792:Q1792" si="826">SUM(P1773:P1791)</f>
        <v>0</v>
      </c>
      <c r="Q1792" s="436">
        <f t="shared" si="826"/>
        <v>0</v>
      </c>
      <c r="T1792" s="418"/>
    </row>
    <row r="1793" spans="3:26" ht="15" hidden="1" outlineLevel="2">
      <c r="C1793" s="1464"/>
      <c r="D1793" s="1464"/>
      <c r="E1793" s="1459"/>
      <c r="F1793" s="1462"/>
      <c r="G1793" s="350"/>
      <c r="H1793" s="335" t="s">
        <v>4</v>
      </c>
      <c r="I1793" s="336">
        <f>I1759</f>
        <v>0</v>
      </c>
      <c r="J1793" s="336">
        <f>J1759</f>
        <v>0</v>
      </c>
      <c r="K1793" s="336">
        <f>K1759</f>
        <v>0</v>
      </c>
      <c r="L1793" s="336">
        <f>L1759</f>
        <v>0</v>
      </c>
      <c r="M1793" s="337" t="s">
        <v>49</v>
      </c>
      <c r="N1793" s="336">
        <f>N1759</f>
        <v>0</v>
      </c>
      <c r="O1793" s="338">
        <f t="shared" si="825"/>
        <v>0</v>
      </c>
      <c r="P1793" s="336">
        <f>P1759</f>
        <v>0</v>
      </c>
      <c r="Q1793" s="430">
        <f>Q1759</f>
        <v>0</v>
      </c>
      <c r="T1793" s="418"/>
    </row>
    <row r="1794" spans="3:26" ht="15" hidden="1" outlineLevel="2">
      <c r="C1794" s="1464"/>
      <c r="D1794" s="1464"/>
      <c r="E1794" s="1459"/>
      <c r="F1794" s="1462"/>
      <c r="G1794" s="350"/>
      <c r="H1794" s="335" t="s">
        <v>29</v>
      </c>
      <c r="I1794" s="336">
        <f>I1772</f>
        <v>0</v>
      </c>
      <c r="J1794" s="336">
        <f t="shared" ref="J1794:N1794" si="827">J1772</f>
        <v>0</v>
      </c>
      <c r="K1794" s="336">
        <f t="shared" si="827"/>
        <v>0</v>
      </c>
      <c r="L1794" s="336">
        <f t="shared" ref="L1794" si="828">L1772</f>
        <v>0</v>
      </c>
      <c r="M1794" s="336" t="str">
        <f t="shared" si="827"/>
        <v>Cash Security</v>
      </c>
      <c r="N1794" s="336">
        <f t="shared" si="827"/>
        <v>0</v>
      </c>
      <c r="O1794" s="338">
        <f t="shared" si="825"/>
        <v>0</v>
      </c>
      <c r="P1794" s="336">
        <f t="shared" ref="P1794:Q1794" si="829">P1772</f>
        <v>0</v>
      </c>
      <c r="Q1794" s="430">
        <f t="shared" si="829"/>
        <v>0</v>
      </c>
      <c r="T1794" s="418"/>
    </row>
    <row r="1795" spans="3:26" ht="15" hidden="1" outlineLevel="2">
      <c r="C1795" s="1464"/>
      <c r="D1795" s="1464"/>
      <c r="E1795" s="1459"/>
      <c r="F1795" s="1462"/>
      <c r="G1795" s="350"/>
      <c r="H1795" s="340" t="s">
        <v>22</v>
      </c>
      <c r="I1795" s="336">
        <f>I1792</f>
        <v>0</v>
      </c>
      <c r="J1795" s="336">
        <f t="shared" ref="J1795:N1795" si="830">J1792</f>
        <v>0</v>
      </c>
      <c r="K1795" s="336">
        <f t="shared" si="830"/>
        <v>0</v>
      </c>
      <c r="L1795" s="336">
        <f t="shared" ref="L1795" si="831">L1792</f>
        <v>0</v>
      </c>
      <c r="M1795" s="336" t="str">
        <f t="shared" si="830"/>
        <v>Cash Security</v>
      </c>
      <c r="N1795" s="336">
        <f t="shared" si="830"/>
        <v>0</v>
      </c>
      <c r="O1795" s="338">
        <f t="shared" si="825"/>
        <v>0</v>
      </c>
      <c r="P1795" s="336">
        <f t="shared" ref="P1795:Q1795" si="832">P1792</f>
        <v>0</v>
      </c>
      <c r="Q1795" s="430">
        <f t="shared" si="832"/>
        <v>0</v>
      </c>
      <c r="T1795" s="418"/>
    </row>
    <row r="1796" spans="3:26" ht="15" hidden="1" outlineLevel="1" collapsed="1">
      <c r="C1796" s="1464"/>
      <c r="D1796" s="1464"/>
      <c r="E1796" s="1459"/>
      <c r="F1796" s="1463"/>
      <c r="G1796" s="1454" t="s">
        <v>177</v>
      </c>
      <c r="H1796" s="1455"/>
      <c r="I1796" s="369">
        <f>(I1793/usdrate)+(I1794*eurrate)+I1795</f>
        <v>0</v>
      </c>
      <c r="J1796" s="369">
        <f>(J1793/usdrate)+(J1794*eurrate)+J1795</f>
        <v>0</v>
      </c>
      <c r="K1796" s="369">
        <f>(K1793/usdrate)+(K1794*eurrate)+K1795</f>
        <v>0</v>
      </c>
      <c r="L1796" s="369">
        <f>(L1793/usdrate)+(L1794*eurrate)+L1795</f>
        <v>0</v>
      </c>
      <c r="M1796" s="360" t="s">
        <v>178</v>
      </c>
      <c r="N1796" s="369">
        <f>(N1793/usdrate)+(N1794*eurrate)+N1795</f>
        <v>0</v>
      </c>
      <c r="O1796" s="367">
        <f t="shared" si="825"/>
        <v>0</v>
      </c>
      <c r="P1796" s="369">
        <f>(P1793/usdrate)+(P1794*eurrate)+P1795</f>
        <v>0</v>
      </c>
      <c r="Q1796" s="437">
        <f>(Q1793/usdrate)+(Q1794*eurrate)+Q1795</f>
        <v>0</v>
      </c>
      <c r="T1796" s="418"/>
    </row>
    <row r="1797" spans="3:26" ht="15" hidden="1" outlineLevel="2">
      <c r="C1797" s="1464"/>
      <c r="D1797" s="1464"/>
      <c r="E1797" s="1459"/>
      <c r="F1797" s="1461" t="s">
        <v>169</v>
      </c>
      <c r="G1797" s="353"/>
      <c r="H1797" s="340" t="s">
        <v>4</v>
      </c>
      <c r="I1797" s="341"/>
      <c r="J1797" s="341"/>
      <c r="K1797" s="370"/>
      <c r="L1797" s="370"/>
      <c r="M1797" s="337"/>
      <c r="N1797" s="336"/>
      <c r="O1797" s="338">
        <f t="shared" si="825"/>
        <v>0</v>
      </c>
      <c r="P1797" s="341"/>
      <c r="Q1797" s="431"/>
      <c r="R1797" s="28">
        <f t="shared" ref="R1797:R1829" si="833">IF(H1797="USD",$B$4,IF(H1797="ILS",$B$2,IF(H1797="JOD",$B$3,"")))</f>
        <v>0.05</v>
      </c>
      <c r="S1797" s="17">
        <f t="shared" ref="S1797:S1806" si="834">R1797*J1797</f>
        <v>0</v>
      </c>
      <c r="T1797" s="419">
        <f t="shared" ref="T1797:T1806" si="835">R1797*I1797</f>
        <v>0</v>
      </c>
      <c r="U1797" s="43"/>
      <c r="V1797" s="44">
        <f t="shared" ref="V1797:V1806" si="836">U1797/12</f>
        <v>0</v>
      </c>
      <c r="W1797" s="35">
        <f t="shared" ref="W1797:W1806" si="837">T1797*V1797</f>
        <v>0</v>
      </c>
      <c r="X1797" s="35"/>
      <c r="Y1797" s="45">
        <f t="shared" ref="Y1797:Y1806" si="838">I1797+W1797</f>
        <v>0</v>
      </c>
      <c r="Z1797" s="45" t="e">
        <f t="shared" ref="Z1797:Z1806" si="839">Y1797/U1797</f>
        <v>#DIV/0!</v>
      </c>
    </row>
    <row r="1798" spans="3:26" ht="15" hidden="1" outlineLevel="2">
      <c r="C1798" s="1464"/>
      <c r="D1798" s="1464"/>
      <c r="E1798" s="1459"/>
      <c r="F1798" s="1462"/>
      <c r="G1798" s="343"/>
      <c r="H1798" s="340" t="s">
        <v>4</v>
      </c>
      <c r="I1798" s="341"/>
      <c r="J1798" s="341"/>
      <c r="K1798" s="341"/>
      <c r="L1798" s="341"/>
      <c r="M1798" s="342"/>
      <c r="N1798" s="341">
        <v>0</v>
      </c>
      <c r="O1798" s="338">
        <f t="shared" si="825"/>
        <v>0</v>
      </c>
      <c r="P1798" s="341"/>
      <c r="Q1798" s="431"/>
      <c r="R1798" s="28">
        <f t="shared" si="833"/>
        <v>0.05</v>
      </c>
      <c r="S1798" s="17">
        <f t="shared" si="834"/>
        <v>0</v>
      </c>
      <c r="T1798" s="419">
        <f t="shared" si="835"/>
        <v>0</v>
      </c>
      <c r="U1798" s="43"/>
      <c r="V1798" s="44">
        <f t="shared" si="836"/>
        <v>0</v>
      </c>
      <c r="W1798" s="35">
        <f t="shared" si="837"/>
        <v>0</v>
      </c>
      <c r="X1798" s="35"/>
      <c r="Y1798" s="45">
        <f t="shared" si="838"/>
        <v>0</v>
      </c>
      <c r="Z1798" s="45" t="e">
        <f t="shared" si="839"/>
        <v>#DIV/0!</v>
      </c>
    </row>
    <row r="1799" spans="3:26" ht="15" hidden="1" outlineLevel="2">
      <c r="C1799" s="1464"/>
      <c r="D1799" s="1464"/>
      <c r="E1799" s="1459"/>
      <c r="F1799" s="1462"/>
      <c r="G1799" s="343"/>
      <c r="H1799" s="340" t="s">
        <v>4</v>
      </c>
      <c r="I1799" s="341"/>
      <c r="J1799" s="341"/>
      <c r="K1799" s="341"/>
      <c r="L1799" s="341"/>
      <c r="M1799" s="337"/>
      <c r="N1799" s="341"/>
      <c r="O1799" s="338">
        <f t="shared" si="825"/>
        <v>0</v>
      </c>
      <c r="P1799" s="341"/>
      <c r="Q1799" s="431"/>
      <c r="R1799" s="28">
        <f t="shared" si="833"/>
        <v>0.05</v>
      </c>
      <c r="S1799" s="17">
        <f t="shared" si="834"/>
        <v>0</v>
      </c>
      <c r="T1799" s="419">
        <f t="shared" si="835"/>
        <v>0</v>
      </c>
      <c r="U1799" s="43"/>
      <c r="V1799" s="44">
        <f t="shared" si="836"/>
        <v>0</v>
      </c>
      <c r="W1799" s="35">
        <f t="shared" si="837"/>
        <v>0</v>
      </c>
      <c r="X1799" s="35"/>
      <c r="Y1799" s="45">
        <f t="shared" si="838"/>
        <v>0</v>
      </c>
      <c r="Z1799" s="45" t="e">
        <f t="shared" si="839"/>
        <v>#DIV/0!</v>
      </c>
    </row>
    <row r="1800" spans="3:26" ht="15" hidden="1" outlineLevel="2">
      <c r="C1800" s="1464"/>
      <c r="D1800" s="1464"/>
      <c r="E1800" s="1459"/>
      <c r="F1800" s="1462"/>
      <c r="G1800" s="343"/>
      <c r="H1800" s="340" t="s">
        <v>4</v>
      </c>
      <c r="I1800" s="341"/>
      <c r="J1800" s="341"/>
      <c r="K1800" s="341"/>
      <c r="L1800" s="341"/>
      <c r="M1800" s="342"/>
      <c r="N1800" s="341"/>
      <c r="O1800" s="338">
        <f t="shared" si="825"/>
        <v>0</v>
      </c>
      <c r="P1800" s="341"/>
      <c r="Q1800" s="431"/>
      <c r="R1800" s="28">
        <f t="shared" si="833"/>
        <v>0.05</v>
      </c>
      <c r="S1800" s="17">
        <f t="shared" si="834"/>
        <v>0</v>
      </c>
      <c r="T1800" s="419">
        <f t="shared" si="835"/>
        <v>0</v>
      </c>
      <c r="U1800" s="43"/>
      <c r="V1800" s="44">
        <f t="shared" si="836"/>
        <v>0</v>
      </c>
      <c r="W1800" s="35">
        <f t="shared" si="837"/>
        <v>0</v>
      </c>
      <c r="X1800" s="35"/>
      <c r="Y1800" s="45">
        <f t="shared" si="838"/>
        <v>0</v>
      </c>
      <c r="Z1800" s="45" t="e">
        <f t="shared" si="839"/>
        <v>#DIV/0!</v>
      </c>
    </row>
    <row r="1801" spans="3:26" ht="15" hidden="1" outlineLevel="2">
      <c r="C1801" s="1464"/>
      <c r="D1801" s="1464"/>
      <c r="E1801" s="1459"/>
      <c r="F1801" s="1462"/>
      <c r="G1801" s="343"/>
      <c r="H1801" s="340" t="s">
        <v>4</v>
      </c>
      <c r="I1801" s="341"/>
      <c r="J1801" s="341"/>
      <c r="K1801" s="341"/>
      <c r="L1801" s="341"/>
      <c r="M1801" s="342"/>
      <c r="N1801" s="341"/>
      <c r="O1801" s="338">
        <f t="shared" si="825"/>
        <v>0</v>
      </c>
      <c r="P1801" s="341"/>
      <c r="Q1801" s="431"/>
      <c r="R1801" s="28">
        <f t="shared" si="833"/>
        <v>0.05</v>
      </c>
      <c r="S1801" s="17">
        <f t="shared" si="834"/>
        <v>0</v>
      </c>
      <c r="T1801" s="419">
        <f t="shared" si="835"/>
        <v>0</v>
      </c>
      <c r="U1801" s="43"/>
      <c r="V1801" s="44">
        <f t="shared" si="836"/>
        <v>0</v>
      </c>
      <c r="W1801" s="35">
        <f t="shared" si="837"/>
        <v>0</v>
      </c>
      <c r="X1801" s="35"/>
      <c r="Y1801" s="45">
        <f t="shared" si="838"/>
        <v>0</v>
      </c>
      <c r="Z1801" s="45" t="e">
        <f t="shared" si="839"/>
        <v>#DIV/0!</v>
      </c>
    </row>
    <row r="1802" spans="3:26" ht="15" hidden="1" outlineLevel="2">
      <c r="C1802" s="1464"/>
      <c r="D1802" s="1464"/>
      <c r="E1802" s="1459"/>
      <c r="F1802" s="1462"/>
      <c r="G1802" s="343"/>
      <c r="H1802" s="340" t="s">
        <v>4</v>
      </c>
      <c r="I1802" s="341"/>
      <c r="J1802" s="341"/>
      <c r="K1802" s="341"/>
      <c r="L1802" s="341"/>
      <c r="M1802" s="342"/>
      <c r="N1802" s="341"/>
      <c r="O1802" s="338">
        <f t="shared" si="825"/>
        <v>0</v>
      </c>
      <c r="P1802" s="341"/>
      <c r="Q1802" s="431"/>
      <c r="R1802" s="28">
        <f t="shared" si="833"/>
        <v>0.05</v>
      </c>
      <c r="S1802" s="17">
        <f t="shared" si="834"/>
        <v>0</v>
      </c>
      <c r="T1802" s="419">
        <f t="shared" si="835"/>
        <v>0</v>
      </c>
      <c r="U1802" s="43"/>
      <c r="V1802" s="44">
        <f t="shared" si="836"/>
        <v>0</v>
      </c>
      <c r="W1802" s="35">
        <f t="shared" si="837"/>
        <v>0</v>
      </c>
      <c r="X1802" s="35"/>
      <c r="Y1802" s="45">
        <f t="shared" si="838"/>
        <v>0</v>
      </c>
      <c r="Z1802" s="45" t="e">
        <f t="shared" si="839"/>
        <v>#DIV/0!</v>
      </c>
    </row>
    <row r="1803" spans="3:26" ht="15" hidden="1" outlineLevel="2">
      <c r="C1803" s="1464"/>
      <c r="D1803" s="1464"/>
      <c r="E1803" s="1459"/>
      <c r="F1803" s="1462"/>
      <c r="G1803" s="343"/>
      <c r="H1803" s="340" t="s">
        <v>4</v>
      </c>
      <c r="I1803" s="341"/>
      <c r="J1803" s="341"/>
      <c r="K1803" s="341"/>
      <c r="L1803" s="341"/>
      <c r="M1803" s="342"/>
      <c r="N1803" s="341"/>
      <c r="O1803" s="338">
        <f t="shared" si="825"/>
        <v>0</v>
      </c>
      <c r="P1803" s="341"/>
      <c r="Q1803" s="431"/>
      <c r="R1803" s="28">
        <f t="shared" si="833"/>
        <v>0.05</v>
      </c>
      <c r="S1803" s="17">
        <f t="shared" si="834"/>
        <v>0</v>
      </c>
      <c r="T1803" s="419">
        <f t="shared" si="835"/>
        <v>0</v>
      </c>
      <c r="U1803" s="43"/>
      <c r="V1803" s="44">
        <f t="shared" si="836"/>
        <v>0</v>
      </c>
      <c r="W1803" s="35">
        <f t="shared" si="837"/>
        <v>0</v>
      </c>
      <c r="X1803" s="35"/>
      <c r="Y1803" s="45">
        <f t="shared" si="838"/>
        <v>0</v>
      </c>
      <c r="Z1803" s="45" t="e">
        <f t="shared" si="839"/>
        <v>#DIV/0!</v>
      </c>
    </row>
    <row r="1804" spans="3:26" ht="15" hidden="1" outlineLevel="2">
      <c r="C1804" s="1464"/>
      <c r="D1804" s="1464"/>
      <c r="E1804" s="1459"/>
      <c r="F1804" s="1462"/>
      <c r="G1804" s="343"/>
      <c r="H1804" s="340" t="s">
        <v>4</v>
      </c>
      <c r="I1804" s="341"/>
      <c r="J1804" s="341"/>
      <c r="K1804" s="341"/>
      <c r="L1804" s="341"/>
      <c r="M1804" s="342"/>
      <c r="N1804" s="341"/>
      <c r="O1804" s="338">
        <f t="shared" si="825"/>
        <v>0</v>
      </c>
      <c r="P1804" s="341"/>
      <c r="Q1804" s="431"/>
      <c r="R1804" s="28">
        <f t="shared" si="833"/>
        <v>0.05</v>
      </c>
      <c r="S1804" s="17">
        <f t="shared" si="834"/>
        <v>0</v>
      </c>
      <c r="T1804" s="419">
        <f t="shared" si="835"/>
        <v>0</v>
      </c>
      <c r="U1804" s="43"/>
      <c r="V1804" s="44">
        <f t="shared" si="836"/>
        <v>0</v>
      </c>
      <c r="W1804" s="35">
        <f t="shared" si="837"/>
        <v>0</v>
      </c>
      <c r="X1804" s="35"/>
      <c r="Y1804" s="45">
        <f t="shared" si="838"/>
        <v>0</v>
      </c>
      <c r="Z1804" s="45" t="e">
        <f t="shared" si="839"/>
        <v>#DIV/0!</v>
      </c>
    </row>
    <row r="1805" spans="3:26" ht="15" hidden="1" outlineLevel="2">
      <c r="C1805" s="1464"/>
      <c r="D1805" s="1464"/>
      <c r="E1805" s="1459"/>
      <c r="F1805" s="1462"/>
      <c r="G1805" s="344"/>
      <c r="H1805" s="340" t="s">
        <v>4</v>
      </c>
      <c r="I1805" s="345"/>
      <c r="J1805" s="345"/>
      <c r="K1805" s="345"/>
      <c r="L1805" s="345"/>
      <c r="M1805" s="346"/>
      <c r="N1805" s="345"/>
      <c r="O1805" s="338">
        <f t="shared" si="825"/>
        <v>0</v>
      </c>
      <c r="P1805" s="345"/>
      <c r="Q1805" s="432"/>
      <c r="R1805" s="28">
        <f t="shared" si="833"/>
        <v>0.05</v>
      </c>
      <c r="S1805" s="17">
        <f t="shared" si="834"/>
        <v>0</v>
      </c>
      <c r="T1805" s="419">
        <f t="shared" si="835"/>
        <v>0</v>
      </c>
      <c r="U1805" s="43"/>
      <c r="V1805" s="44">
        <f t="shared" si="836"/>
        <v>0</v>
      </c>
      <c r="W1805" s="35">
        <f t="shared" si="837"/>
        <v>0</v>
      </c>
      <c r="X1805" s="35"/>
      <c r="Y1805" s="45">
        <f t="shared" si="838"/>
        <v>0</v>
      </c>
      <c r="Z1805" s="45" t="e">
        <f t="shared" si="839"/>
        <v>#DIV/0!</v>
      </c>
    </row>
    <row r="1806" spans="3:26" ht="15" hidden="1" outlineLevel="2">
      <c r="C1806" s="1464"/>
      <c r="D1806" s="1464"/>
      <c r="E1806" s="1459"/>
      <c r="F1806" s="1462"/>
      <c r="G1806" s="343"/>
      <c r="H1806" s="340" t="s">
        <v>4</v>
      </c>
      <c r="I1806" s="341"/>
      <c r="J1806" s="341"/>
      <c r="K1806" s="341"/>
      <c r="L1806" s="341"/>
      <c r="M1806" s="342"/>
      <c r="N1806" s="341"/>
      <c r="O1806" s="338">
        <f t="shared" si="825"/>
        <v>0</v>
      </c>
      <c r="P1806" s="341"/>
      <c r="Q1806" s="431"/>
      <c r="R1806" s="28">
        <f t="shared" si="833"/>
        <v>0.05</v>
      </c>
      <c r="S1806" s="17">
        <f t="shared" si="834"/>
        <v>0</v>
      </c>
      <c r="T1806" s="419">
        <f t="shared" si="835"/>
        <v>0</v>
      </c>
      <c r="U1806" s="43"/>
      <c r="V1806" s="44">
        <f t="shared" si="836"/>
        <v>0</v>
      </c>
      <c r="W1806" s="35">
        <f t="shared" si="837"/>
        <v>0</v>
      </c>
      <c r="X1806" s="35"/>
      <c r="Y1806" s="45">
        <f t="shared" si="838"/>
        <v>0</v>
      </c>
      <c r="Z1806" s="45" t="e">
        <f t="shared" si="839"/>
        <v>#DIV/0!</v>
      </c>
    </row>
    <row r="1807" spans="3:26" ht="15" hidden="1" outlineLevel="2">
      <c r="C1807" s="1464"/>
      <c r="D1807" s="1464"/>
      <c r="E1807" s="1459"/>
      <c r="F1807" s="1462"/>
      <c r="G1807" s="1454" t="s">
        <v>45</v>
      </c>
      <c r="H1807" s="1455"/>
      <c r="I1807" s="371">
        <f>SUM(I1797:I1806)</f>
        <v>0</v>
      </c>
      <c r="J1807" s="371">
        <f t="shared" ref="J1807" si="840">SUM(J1797:J1806)</f>
        <v>0</v>
      </c>
      <c r="K1807" s="371">
        <f>SUMIFS(K1797:K1806,K1797:K1806,"&lt;&gt;",K1797:K1806,"&lt;"&amp;99^99)</f>
        <v>0</v>
      </c>
      <c r="L1807" s="371">
        <f>SUMIFS(L1797:L1806,L1797:L1806,"&lt;&gt;",L1797:L1806,"&lt;"&amp;99^99)</f>
        <v>0</v>
      </c>
      <c r="M1807" s="359"/>
      <c r="N1807" s="371">
        <f>N1797</f>
        <v>0</v>
      </c>
      <c r="O1807" s="367">
        <f t="shared" si="825"/>
        <v>0</v>
      </c>
      <c r="P1807" s="371">
        <f t="shared" ref="P1807:Q1807" si="841">SUM(P1797:P1806)</f>
        <v>0</v>
      </c>
      <c r="Q1807" s="438">
        <f t="shared" si="841"/>
        <v>0</v>
      </c>
      <c r="R1807" s="37" t="str">
        <f t="shared" si="833"/>
        <v/>
      </c>
      <c r="S1807" s="37">
        <f>SUM(S1797:S1806)</f>
        <v>0</v>
      </c>
      <c r="T1807" s="420">
        <f t="shared" ref="T1807" si="842">SUM(T1797:T1806)</f>
        <v>0</v>
      </c>
      <c r="U1807" s="37"/>
      <c r="V1807" s="37"/>
      <c r="W1807" s="37">
        <f t="shared" ref="W1807" si="843">SUM(W1797:W1806)</f>
        <v>0</v>
      </c>
      <c r="X1807" s="37"/>
      <c r="Y1807" s="37">
        <f t="shared" ref="Y1807" si="844">SUM(Y1797:Y1806)</f>
        <v>0</v>
      </c>
      <c r="Z1807" s="37">
        <f>SUMIFS(Z1797:Z1806,Y1797:Y1806,"&lt;&gt;",Z1797:Z1806,"&lt;"&amp;99^99)</f>
        <v>0</v>
      </c>
    </row>
    <row r="1808" spans="3:26" ht="15" hidden="1" outlineLevel="2">
      <c r="C1808" s="1464"/>
      <c r="D1808" s="1464"/>
      <c r="E1808" s="1459"/>
      <c r="F1808" s="1462"/>
      <c r="G1808" s="350"/>
      <c r="H1808" s="335" t="s">
        <v>28</v>
      </c>
      <c r="I1808" s="336"/>
      <c r="J1808" s="336"/>
      <c r="K1808" s="336"/>
      <c r="L1808" s="336"/>
      <c r="M1808" s="337"/>
      <c r="N1808" s="336"/>
      <c r="O1808" s="338">
        <f t="shared" si="825"/>
        <v>0</v>
      </c>
      <c r="P1808" s="336"/>
      <c r="Q1808" s="430"/>
      <c r="R1808" s="28">
        <f t="shared" si="833"/>
        <v>3.5000000000000003E-2</v>
      </c>
      <c r="S1808" s="17">
        <f t="shared" ref="S1808:S1817" si="845">R1808*J1808</f>
        <v>0</v>
      </c>
      <c r="T1808" s="419">
        <f t="shared" ref="T1808:T1817" si="846">R1808*I1808</f>
        <v>0</v>
      </c>
      <c r="U1808" s="43"/>
      <c r="V1808" s="44">
        <f t="shared" ref="V1808:V1817" si="847">U1808/12</f>
        <v>0</v>
      </c>
      <c r="W1808" s="35">
        <f t="shared" ref="W1808:W1817" si="848">T1808*V1808</f>
        <v>0</v>
      </c>
      <c r="X1808" s="35"/>
      <c r="Y1808" s="45">
        <f t="shared" ref="Y1808:Y1817" si="849">I1808+W1808</f>
        <v>0</v>
      </c>
      <c r="Z1808" s="45" t="e">
        <f t="shared" ref="Z1808:Z1817" si="850">Y1808/U1808</f>
        <v>#DIV/0!</v>
      </c>
    </row>
    <row r="1809" spans="3:26" ht="15" hidden="1" outlineLevel="2">
      <c r="C1809" s="1464"/>
      <c r="D1809" s="1464"/>
      <c r="E1809" s="1459"/>
      <c r="F1809" s="1462"/>
      <c r="G1809" s="343"/>
      <c r="H1809" s="335" t="s">
        <v>28</v>
      </c>
      <c r="I1809" s="341"/>
      <c r="J1809" s="341"/>
      <c r="K1809" s="341"/>
      <c r="L1809" s="341"/>
      <c r="M1809" s="342"/>
      <c r="N1809" s="341"/>
      <c r="O1809" s="338">
        <f t="shared" si="825"/>
        <v>0</v>
      </c>
      <c r="P1809" s="341"/>
      <c r="Q1809" s="431"/>
      <c r="R1809" s="28">
        <f t="shared" si="833"/>
        <v>3.5000000000000003E-2</v>
      </c>
      <c r="S1809" s="17">
        <f t="shared" si="845"/>
        <v>0</v>
      </c>
      <c r="T1809" s="419">
        <f t="shared" si="846"/>
        <v>0</v>
      </c>
      <c r="U1809" s="43"/>
      <c r="V1809" s="44">
        <f t="shared" si="847"/>
        <v>0</v>
      </c>
      <c r="W1809" s="35">
        <f t="shared" si="848"/>
        <v>0</v>
      </c>
      <c r="X1809" s="35"/>
      <c r="Y1809" s="45">
        <f t="shared" si="849"/>
        <v>0</v>
      </c>
      <c r="Z1809" s="45" t="e">
        <f t="shared" si="850"/>
        <v>#DIV/0!</v>
      </c>
    </row>
    <row r="1810" spans="3:26" ht="15" hidden="1" outlineLevel="2">
      <c r="C1810" s="1464"/>
      <c r="D1810" s="1464"/>
      <c r="E1810" s="1459"/>
      <c r="F1810" s="1462"/>
      <c r="G1810" s="343"/>
      <c r="H1810" s="335" t="s">
        <v>28</v>
      </c>
      <c r="I1810" s="341"/>
      <c r="J1810" s="341"/>
      <c r="K1810" s="341"/>
      <c r="L1810" s="341"/>
      <c r="M1810" s="337"/>
      <c r="N1810" s="341"/>
      <c r="O1810" s="338">
        <f t="shared" si="825"/>
        <v>0</v>
      </c>
      <c r="P1810" s="341"/>
      <c r="Q1810" s="431"/>
      <c r="R1810" s="28">
        <f t="shared" si="833"/>
        <v>3.5000000000000003E-2</v>
      </c>
      <c r="S1810" s="17">
        <f t="shared" si="845"/>
        <v>0</v>
      </c>
      <c r="T1810" s="419">
        <f t="shared" si="846"/>
        <v>0</v>
      </c>
      <c r="U1810" s="43"/>
      <c r="V1810" s="44">
        <f t="shared" si="847"/>
        <v>0</v>
      </c>
      <c r="W1810" s="35">
        <f t="shared" si="848"/>
        <v>0</v>
      </c>
      <c r="X1810" s="35"/>
      <c r="Y1810" s="45">
        <f t="shared" si="849"/>
        <v>0</v>
      </c>
      <c r="Z1810" s="45" t="e">
        <f t="shared" si="850"/>
        <v>#DIV/0!</v>
      </c>
    </row>
    <row r="1811" spans="3:26" ht="15" hidden="1" outlineLevel="2">
      <c r="C1811" s="1464"/>
      <c r="D1811" s="1464"/>
      <c r="E1811" s="1459"/>
      <c r="F1811" s="1462"/>
      <c r="G1811" s="343"/>
      <c r="H1811" s="335" t="s">
        <v>28</v>
      </c>
      <c r="I1811" s="341"/>
      <c r="J1811" s="341"/>
      <c r="K1811" s="341"/>
      <c r="L1811" s="341"/>
      <c r="M1811" s="342"/>
      <c r="N1811" s="341"/>
      <c r="O1811" s="338">
        <f t="shared" si="825"/>
        <v>0</v>
      </c>
      <c r="P1811" s="341"/>
      <c r="Q1811" s="431"/>
      <c r="R1811" s="28">
        <f t="shared" si="833"/>
        <v>3.5000000000000003E-2</v>
      </c>
      <c r="S1811" s="17">
        <f t="shared" si="845"/>
        <v>0</v>
      </c>
      <c r="T1811" s="419">
        <f t="shared" si="846"/>
        <v>0</v>
      </c>
      <c r="U1811" s="43"/>
      <c r="V1811" s="44">
        <f t="shared" si="847"/>
        <v>0</v>
      </c>
      <c r="W1811" s="35">
        <f t="shared" si="848"/>
        <v>0</v>
      </c>
      <c r="X1811" s="35"/>
      <c r="Y1811" s="45">
        <f t="shared" si="849"/>
        <v>0</v>
      </c>
      <c r="Z1811" s="45" t="e">
        <f t="shared" si="850"/>
        <v>#DIV/0!</v>
      </c>
    </row>
    <row r="1812" spans="3:26" ht="15" hidden="1" outlineLevel="2">
      <c r="C1812" s="1464"/>
      <c r="D1812" s="1464"/>
      <c r="E1812" s="1459"/>
      <c r="F1812" s="1462"/>
      <c r="G1812" s="343"/>
      <c r="H1812" s="335" t="s">
        <v>28</v>
      </c>
      <c r="I1812" s="341"/>
      <c r="J1812" s="341"/>
      <c r="K1812" s="341"/>
      <c r="L1812" s="341"/>
      <c r="M1812" s="342"/>
      <c r="N1812" s="341"/>
      <c r="O1812" s="338">
        <f t="shared" si="825"/>
        <v>0</v>
      </c>
      <c r="P1812" s="341"/>
      <c r="Q1812" s="431"/>
      <c r="R1812" s="28">
        <f t="shared" si="833"/>
        <v>3.5000000000000003E-2</v>
      </c>
      <c r="S1812" s="17">
        <f t="shared" si="845"/>
        <v>0</v>
      </c>
      <c r="T1812" s="419">
        <f t="shared" si="846"/>
        <v>0</v>
      </c>
      <c r="U1812" s="43"/>
      <c r="V1812" s="44">
        <f t="shared" si="847"/>
        <v>0</v>
      </c>
      <c r="W1812" s="35">
        <f t="shared" si="848"/>
        <v>0</v>
      </c>
      <c r="X1812" s="35"/>
      <c r="Y1812" s="45">
        <f t="shared" si="849"/>
        <v>0</v>
      </c>
      <c r="Z1812" s="45" t="e">
        <f t="shared" si="850"/>
        <v>#DIV/0!</v>
      </c>
    </row>
    <row r="1813" spans="3:26" ht="15" hidden="1" outlineLevel="2">
      <c r="C1813" s="1464"/>
      <c r="D1813" s="1464"/>
      <c r="E1813" s="1459"/>
      <c r="F1813" s="1462"/>
      <c r="G1813" s="343"/>
      <c r="H1813" s="335" t="s">
        <v>28</v>
      </c>
      <c r="I1813" s="341"/>
      <c r="J1813" s="341"/>
      <c r="K1813" s="341"/>
      <c r="L1813" s="341"/>
      <c r="M1813" s="342"/>
      <c r="N1813" s="341"/>
      <c r="O1813" s="338">
        <f t="shared" si="825"/>
        <v>0</v>
      </c>
      <c r="P1813" s="341"/>
      <c r="Q1813" s="431"/>
      <c r="R1813" s="28">
        <f t="shared" si="833"/>
        <v>3.5000000000000003E-2</v>
      </c>
      <c r="S1813" s="17">
        <f t="shared" si="845"/>
        <v>0</v>
      </c>
      <c r="T1813" s="419">
        <f t="shared" si="846"/>
        <v>0</v>
      </c>
      <c r="U1813" s="43"/>
      <c r="V1813" s="44">
        <f t="shared" si="847"/>
        <v>0</v>
      </c>
      <c r="W1813" s="35">
        <f t="shared" si="848"/>
        <v>0</v>
      </c>
      <c r="X1813" s="35"/>
      <c r="Y1813" s="45">
        <f t="shared" si="849"/>
        <v>0</v>
      </c>
      <c r="Z1813" s="45" t="e">
        <f t="shared" si="850"/>
        <v>#DIV/0!</v>
      </c>
    </row>
    <row r="1814" spans="3:26" ht="15" hidden="1" outlineLevel="2">
      <c r="C1814" s="1464"/>
      <c r="D1814" s="1464"/>
      <c r="E1814" s="1459"/>
      <c r="F1814" s="1462"/>
      <c r="G1814" s="343"/>
      <c r="H1814" s="335" t="s">
        <v>28</v>
      </c>
      <c r="I1814" s="341"/>
      <c r="J1814" s="341"/>
      <c r="K1814" s="341"/>
      <c r="L1814" s="341"/>
      <c r="M1814" s="342"/>
      <c r="N1814" s="341"/>
      <c r="O1814" s="338">
        <f t="shared" si="825"/>
        <v>0</v>
      </c>
      <c r="P1814" s="341"/>
      <c r="Q1814" s="431"/>
      <c r="R1814" s="28">
        <f t="shared" si="833"/>
        <v>3.5000000000000003E-2</v>
      </c>
      <c r="S1814" s="17">
        <f t="shared" si="845"/>
        <v>0</v>
      </c>
      <c r="T1814" s="419">
        <f t="shared" si="846"/>
        <v>0</v>
      </c>
      <c r="U1814" s="43"/>
      <c r="V1814" s="44">
        <f t="shared" si="847"/>
        <v>0</v>
      </c>
      <c r="W1814" s="35">
        <f t="shared" si="848"/>
        <v>0</v>
      </c>
      <c r="X1814" s="35"/>
      <c r="Y1814" s="45">
        <f t="shared" si="849"/>
        <v>0</v>
      </c>
      <c r="Z1814" s="45" t="e">
        <f t="shared" si="850"/>
        <v>#DIV/0!</v>
      </c>
    </row>
    <row r="1815" spans="3:26" ht="15" hidden="1" outlineLevel="2">
      <c r="C1815" s="1464"/>
      <c r="D1815" s="1464"/>
      <c r="E1815" s="1459"/>
      <c r="F1815" s="1462"/>
      <c r="G1815" s="343"/>
      <c r="H1815" s="335" t="s">
        <v>28</v>
      </c>
      <c r="I1815" s="341"/>
      <c r="J1815" s="341"/>
      <c r="K1815" s="341"/>
      <c r="L1815" s="341"/>
      <c r="M1815" s="342"/>
      <c r="N1815" s="341"/>
      <c r="O1815" s="338">
        <f t="shared" si="825"/>
        <v>0</v>
      </c>
      <c r="P1815" s="341"/>
      <c r="Q1815" s="431"/>
      <c r="R1815" s="28">
        <f t="shared" si="833"/>
        <v>3.5000000000000003E-2</v>
      </c>
      <c r="S1815" s="17">
        <f t="shared" si="845"/>
        <v>0</v>
      </c>
      <c r="T1815" s="419">
        <f t="shared" si="846"/>
        <v>0</v>
      </c>
      <c r="U1815" s="43"/>
      <c r="V1815" s="44">
        <f t="shared" si="847"/>
        <v>0</v>
      </c>
      <c r="W1815" s="35">
        <f t="shared" si="848"/>
        <v>0</v>
      </c>
      <c r="X1815" s="35"/>
      <c r="Y1815" s="45">
        <f t="shared" si="849"/>
        <v>0</v>
      </c>
      <c r="Z1815" s="45" t="e">
        <f t="shared" si="850"/>
        <v>#DIV/0!</v>
      </c>
    </row>
    <row r="1816" spans="3:26" ht="15" hidden="1" outlineLevel="2">
      <c r="C1816" s="1464"/>
      <c r="D1816" s="1464"/>
      <c r="E1816" s="1459"/>
      <c r="F1816" s="1462"/>
      <c r="G1816" s="344"/>
      <c r="H1816" s="335" t="s">
        <v>28</v>
      </c>
      <c r="I1816" s="345"/>
      <c r="J1816" s="345"/>
      <c r="K1816" s="345"/>
      <c r="L1816" s="345"/>
      <c r="M1816" s="346"/>
      <c r="N1816" s="345"/>
      <c r="O1816" s="338">
        <f t="shared" si="825"/>
        <v>0</v>
      </c>
      <c r="P1816" s="345"/>
      <c r="Q1816" s="432"/>
      <c r="R1816" s="28">
        <f t="shared" si="833"/>
        <v>3.5000000000000003E-2</v>
      </c>
      <c r="S1816" s="17">
        <f t="shared" si="845"/>
        <v>0</v>
      </c>
      <c r="T1816" s="419">
        <f t="shared" si="846"/>
        <v>0</v>
      </c>
      <c r="U1816" s="43"/>
      <c r="V1816" s="44">
        <f t="shared" si="847"/>
        <v>0</v>
      </c>
      <c r="W1816" s="35">
        <f t="shared" si="848"/>
        <v>0</v>
      </c>
      <c r="X1816" s="35"/>
      <c r="Y1816" s="45">
        <f t="shared" si="849"/>
        <v>0</v>
      </c>
      <c r="Z1816" s="45" t="e">
        <f t="shared" si="850"/>
        <v>#DIV/0!</v>
      </c>
    </row>
    <row r="1817" spans="3:26" ht="15" hidden="1" outlineLevel="2">
      <c r="C1817" s="1464"/>
      <c r="D1817" s="1464"/>
      <c r="E1817" s="1459"/>
      <c r="F1817" s="1462"/>
      <c r="G1817" s="343"/>
      <c r="H1817" s="335" t="s">
        <v>28</v>
      </c>
      <c r="I1817" s="341"/>
      <c r="J1817" s="341"/>
      <c r="K1817" s="341"/>
      <c r="L1817" s="341"/>
      <c r="M1817" s="342"/>
      <c r="N1817" s="341"/>
      <c r="O1817" s="338">
        <f t="shared" si="825"/>
        <v>0</v>
      </c>
      <c r="P1817" s="341"/>
      <c r="Q1817" s="431"/>
      <c r="R1817" s="28">
        <f t="shared" si="833"/>
        <v>3.5000000000000003E-2</v>
      </c>
      <c r="S1817" s="17">
        <f t="shared" si="845"/>
        <v>0</v>
      </c>
      <c r="T1817" s="419">
        <f t="shared" si="846"/>
        <v>0</v>
      </c>
      <c r="U1817" s="43"/>
      <c r="V1817" s="44">
        <f t="shared" si="847"/>
        <v>0</v>
      </c>
      <c r="W1817" s="35">
        <f t="shared" si="848"/>
        <v>0</v>
      </c>
      <c r="X1817" s="35"/>
      <c r="Y1817" s="45">
        <f t="shared" si="849"/>
        <v>0</v>
      </c>
      <c r="Z1817" s="45" t="e">
        <f t="shared" si="850"/>
        <v>#DIV/0!</v>
      </c>
    </row>
    <row r="1818" spans="3:26" ht="15" hidden="1" outlineLevel="2">
      <c r="C1818" s="1464"/>
      <c r="D1818" s="1464"/>
      <c r="E1818" s="1459"/>
      <c r="F1818" s="1462"/>
      <c r="G1818" s="1454" t="s">
        <v>51</v>
      </c>
      <c r="H1818" s="1455"/>
      <c r="I1818" s="371">
        <f>SUM(I1808:I1817)</f>
        <v>0</v>
      </c>
      <c r="J1818" s="371">
        <f t="shared" ref="J1818" si="851">SUM(J1808:J1817)</f>
        <v>0</v>
      </c>
      <c r="K1818" s="371">
        <f>SUMIFS(K1808:K1817,J1808:J1817,"&lt;&gt;",K1808:K1817,"&lt;"&amp;99^99)</f>
        <v>0</v>
      </c>
      <c r="L1818" s="371">
        <f>SUMIFS(L1808:L1817,K1808:K1817,"&lt;&gt;",L1808:L1817,"&lt;"&amp;99^99)</f>
        <v>0</v>
      </c>
      <c r="M1818" s="359"/>
      <c r="N1818" s="371">
        <f>N1808</f>
        <v>0</v>
      </c>
      <c r="O1818" s="367">
        <f t="shared" si="825"/>
        <v>0</v>
      </c>
      <c r="P1818" s="371">
        <f t="shared" ref="P1818:Q1818" si="852">SUM(P1808:P1817)</f>
        <v>0</v>
      </c>
      <c r="Q1818" s="438">
        <f t="shared" si="852"/>
        <v>0</v>
      </c>
      <c r="R1818" s="37" t="str">
        <f t="shared" si="833"/>
        <v/>
      </c>
      <c r="S1818" s="37">
        <f>SUM(S1808:S1817)</f>
        <v>0</v>
      </c>
      <c r="T1818" s="420">
        <f t="shared" ref="T1818" si="853">SUM(T1808:T1817)</f>
        <v>0</v>
      </c>
      <c r="U1818" s="37"/>
      <c r="V1818" s="37"/>
      <c r="W1818" s="37">
        <f t="shared" ref="W1818" si="854">SUM(W1808:W1817)</f>
        <v>0</v>
      </c>
      <c r="X1818" s="37"/>
      <c r="Y1818" s="37">
        <f t="shared" ref="Y1818" si="855">SUM(Y1808:Y1817)</f>
        <v>0</v>
      </c>
      <c r="Z1818" s="37">
        <f>SUMIFS(Z1808:Z1817,Y1808:Y1817,"&lt;&gt;",Z1808:Z1817,"&lt;"&amp;99^99)</f>
        <v>0</v>
      </c>
    </row>
    <row r="1819" spans="3:26" ht="15" hidden="1" outlineLevel="2">
      <c r="C1819" s="1464"/>
      <c r="D1819" s="1464"/>
      <c r="E1819" s="1459"/>
      <c r="F1819" s="1462"/>
      <c r="G1819" s="350"/>
      <c r="H1819" s="335" t="s">
        <v>22</v>
      </c>
      <c r="I1819" s="336"/>
      <c r="J1819" s="336"/>
      <c r="K1819" s="336"/>
      <c r="L1819" s="336"/>
      <c r="M1819" s="337"/>
      <c r="N1819" s="336"/>
      <c r="O1819" s="338">
        <f t="shared" si="825"/>
        <v>0</v>
      </c>
      <c r="P1819" s="336"/>
      <c r="Q1819" s="430"/>
      <c r="R1819" s="28">
        <f t="shared" si="833"/>
        <v>3.5000000000000003E-2</v>
      </c>
      <c r="S1819" s="17">
        <f t="shared" ref="S1819:S1828" si="856">R1819*J1819</f>
        <v>0</v>
      </c>
      <c r="T1819" s="419">
        <f t="shared" ref="T1819:T1828" si="857">R1819*I1819</f>
        <v>0</v>
      </c>
      <c r="U1819" s="43"/>
      <c r="V1819" s="44">
        <f t="shared" ref="V1819:V1828" si="858">U1819/12</f>
        <v>0</v>
      </c>
      <c r="W1819" s="35">
        <f t="shared" ref="W1819:W1828" si="859">T1819*V1819</f>
        <v>0</v>
      </c>
      <c r="X1819" s="35"/>
      <c r="Y1819" s="45">
        <f t="shared" ref="Y1819:Y1828" si="860">I1819+W1819</f>
        <v>0</v>
      </c>
      <c r="Z1819" s="45" t="e">
        <f t="shared" ref="Z1819:Z1828" si="861">Y1819/U1819</f>
        <v>#DIV/0!</v>
      </c>
    </row>
    <row r="1820" spans="3:26" ht="15" hidden="1" outlineLevel="2">
      <c r="C1820" s="1464"/>
      <c r="D1820" s="1464"/>
      <c r="E1820" s="1459"/>
      <c r="F1820" s="1462"/>
      <c r="G1820" s="343"/>
      <c r="H1820" s="335" t="s">
        <v>22</v>
      </c>
      <c r="I1820" s="341"/>
      <c r="J1820" s="341"/>
      <c r="K1820" s="341"/>
      <c r="L1820" s="341"/>
      <c r="M1820" s="342"/>
      <c r="N1820" s="341">
        <v>0</v>
      </c>
      <c r="O1820" s="338">
        <f t="shared" si="825"/>
        <v>0</v>
      </c>
      <c r="P1820" s="341"/>
      <c r="Q1820" s="431"/>
      <c r="R1820" s="28">
        <f t="shared" si="833"/>
        <v>3.5000000000000003E-2</v>
      </c>
      <c r="S1820" s="17">
        <f t="shared" si="856"/>
        <v>0</v>
      </c>
      <c r="T1820" s="419">
        <f t="shared" si="857"/>
        <v>0</v>
      </c>
      <c r="U1820" s="43"/>
      <c r="V1820" s="44">
        <f t="shared" si="858"/>
        <v>0</v>
      </c>
      <c r="W1820" s="35">
        <f t="shared" si="859"/>
        <v>0</v>
      </c>
      <c r="X1820" s="35"/>
      <c r="Y1820" s="45">
        <f t="shared" si="860"/>
        <v>0</v>
      </c>
      <c r="Z1820" s="45" t="e">
        <f t="shared" si="861"/>
        <v>#DIV/0!</v>
      </c>
    </row>
    <row r="1821" spans="3:26" ht="15" hidden="1" outlineLevel="2">
      <c r="C1821" s="1464"/>
      <c r="D1821" s="1464"/>
      <c r="E1821" s="1459"/>
      <c r="F1821" s="1462"/>
      <c r="G1821" s="343"/>
      <c r="H1821" s="335" t="s">
        <v>22</v>
      </c>
      <c r="I1821" s="341"/>
      <c r="J1821" s="341"/>
      <c r="K1821" s="341"/>
      <c r="L1821" s="341"/>
      <c r="M1821" s="337"/>
      <c r="N1821" s="341"/>
      <c r="O1821" s="338">
        <f t="shared" si="825"/>
        <v>0</v>
      </c>
      <c r="P1821" s="341"/>
      <c r="Q1821" s="431"/>
      <c r="R1821" s="28">
        <f t="shared" si="833"/>
        <v>3.5000000000000003E-2</v>
      </c>
      <c r="S1821" s="17">
        <f t="shared" si="856"/>
        <v>0</v>
      </c>
      <c r="T1821" s="419">
        <f t="shared" si="857"/>
        <v>0</v>
      </c>
      <c r="U1821" s="43"/>
      <c r="V1821" s="44">
        <f t="shared" si="858"/>
        <v>0</v>
      </c>
      <c r="W1821" s="35">
        <f t="shared" si="859"/>
        <v>0</v>
      </c>
      <c r="X1821" s="35"/>
      <c r="Y1821" s="45">
        <f t="shared" si="860"/>
        <v>0</v>
      </c>
      <c r="Z1821" s="45" t="e">
        <f t="shared" si="861"/>
        <v>#DIV/0!</v>
      </c>
    </row>
    <row r="1822" spans="3:26" ht="15" hidden="1" outlineLevel="2">
      <c r="C1822" s="1464"/>
      <c r="D1822" s="1464"/>
      <c r="E1822" s="1459"/>
      <c r="F1822" s="1462"/>
      <c r="G1822" s="343"/>
      <c r="H1822" s="335" t="s">
        <v>22</v>
      </c>
      <c r="I1822" s="341"/>
      <c r="J1822" s="341"/>
      <c r="K1822" s="341"/>
      <c r="L1822" s="341"/>
      <c r="M1822" s="342"/>
      <c r="N1822" s="341"/>
      <c r="O1822" s="338">
        <f t="shared" si="825"/>
        <v>0</v>
      </c>
      <c r="P1822" s="341"/>
      <c r="Q1822" s="431"/>
      <c r="R1822" s="28">
        <f t="shared" si="833"/>
        <v>3.5000000000000003E-2</v>
      </c>
      <c r="S1822" s="17">
        <f t="shared" si="856"/>
        <v>0</v>
      </c>
      <c r="T1822" s="419">
        <f t="shared" si="857"/>
        <v>0</v>
      </c>
      <c r="U1822" s="43"/>
      <c r="V1822" s="44">
        <f t="shared" si="858"/>
        <v>0</v>
      </c>
      <c r="W1822" s="35">
        <f t="shared" si="859"/>
        <v>0</v>
      </c>
      <c r="X1822" s="35"/>
      <c r="Y1822" s="45">
        <f t="shared" si="860"/>
        <v>0</v>
      </c>
      <c r="Z1822" s="45" t="e">
        <f t="shared" si="861"/>
        <v>#DIV/0!</v>
      </c>
    </row>
    <row r="1823" spans="3:26" ht="15" hidden="1" outlineLevel="2">
      <c r="C1823" s="1464"/>
      <c r="D1823" s="1464"/>
      <c r="E1823" s="1459"/>
      <c r="F1823" s="1462"/>
      <c r="G1823" s="343"/>
      <c r="H1823" s="335" t="s">
        <v>22</v>
      </c>
      <c r="I1823" s="341"/>
      <c r="J1823" s="341"/>
      <c r="K1823" s="341"/>
      <c r="L1823" s="341"/>
      <c r="M1823" s="342"/>
      <c r="N1823" s="341"/>
      <c r="O1823" s="338">
        <f t="shared" si="825"/>
        <v>0</v>
      </c>
      <c r="P1823" s="341"/>
      <c r="Q1823" s="431"/>
      <c r="R1823" s="28">
        <f t="shared" si="833"/>
        <v>3.5000000000000003E-2</v>
      </c>
      <c r="S1823" s="17">
        <f t="shared" si="856"/>
        <v>0</v>
      </c>
      <c r="T1823" s="419">
        <f t="shared" si="857"/>
        <v>0</v>
      </c>
      <c r="U1823" s="43"/>
      <c r="V1823" s="44">
        <f t="shared" si="858"/>
        <v>0</v>
      </c>
      <c r="W1823" s="35">
        <f t="shared" si="859"/>
        <v>0</v>
      </c>
      <c r="X1823" s="35"/>
      <c r="Y1823" s="45">
        <f t="shared" si="860"/>
        <v>0</v>
      </c>
      <c r="Z1823" s="45" t="e">
        <f t="shared" si="861"/>
        <v>#DIV/0!</v>
      </c>
    </row>
    <row r="1824" spans="3:26" ht="15" hidden="1" outlineLevel="2">
      <c r="C1824" s="1464"/>
      <c r="D1824" s="1464"/>
      <c r="E1824" s="1459"/>
      <c r="F1824" s="1462"/>
      <c r="G1824" s="343"/>
      <c r="H1824" s="335" t="s">
        <v>22</v>
      </c>
      <c r="I1824" s="341"/>
      <c r="J1824" s="341"/>
      <c r="K1824" s="341"/>
      <c r="L1824" s="341"/>
      <c r="M1824" s="342"/>
      <c r="N1824" s="341"/>
      <c r="O1824" s="338">
        <f t="shared" si="825"/>
        <v>0</v>
      </c>
      <c r="P1824" s="341"/>
      <c r="Q1824" s="431"/>
      <c r="R1824" s="28">
        <f t="shared" si="833"/>
        <v>3.5000000000000003E-2</v>
      </c>
      <c r="S1824" s="17">
        <f t="shared" si="856"/>
        <v>0</v>
      </c>
      <c r="T1824" s="419">
        <f t="shared" si="857"/>
        <v>0</v>
      </c>
      <c r="U1824" s="43"/>
      <c r="V1824" s="44">
        <f t="shared" si="858"/>
        <v>0</v>
      </c>
      <c r="W1824" s="35">
        <f t="shared" si="859"/>
        <v>0</v>
      </c>
      <c r="X1824" s="35"/>
      <c r="Y1824" s="45">
        <f t="shared" si="860"/>
        <v>0</v>
      </c>
      <c r="Z1824" s="45" t="e">
        <f t="shared" si="861"/>
        <v>#DIV/0!</v>
      </c>
    </row>
    <row r="1825" spans="3:26" ht="15" hidden="1" outlineLevel="2">
      <c r="C1825" s="1464"/>
      <c r="D1825" s="1464"/>
      <c r="E1825" s="1459"/>
      <c r="F1825" s="1462"/>
      <c r="G1825" s="343"/>
      <c r="H1825" s="335" t="s">
        <v>22</v>
      </c>
      <c r="I1825" s="341"/>
      <c r="J1825" s="341"/>
      <c r="K1825" s="341"/>
      <c r="L1825" s="341"/>
      <c r="M1825" s="342"/>
      <c r="N1825" s="341"/>
      <c r="O1825" s="338">
        <f t="shared" si="825"/>
        <v>0</v>
      </c>
      <c r="P1825" s="341"/>
      <c r="Q1825" s="431"/>
      <c r="R1825" s="28">
        <f t="shared" si="833"/>
        <v>3.5000000000000003E-2</v>
      </c>
      <c r="S1825" s="17">
        <f t="shared" si="856"/>
        <v>0</v>
      </c>
      <c r="T1825" s="419">
        <f t="shared" si="857"/>
        <v>0</v>
      </c>
      <c r="U1825" s="43"/>
      <c r="V1825" s="44">
        <f t="shared" si="858"/>
        <v>0</v>
      </c>
      <c r="W1825" s="35">
        <f t="shared" si="859"/>
        <v>0</v>
      </c>
      <c r="X1825" s="35"/>
      <c r="Y1825" s="45">
        <f t="shared" si="860"/>
        <v>0</v>
      </c>
      <c r="Z1825" s="45" t="e">
        <f t="shared" si="861"/>
        <v>#DIV/0!</v>
      </c>
    </row>
    <row r="1826" spans="3:26" ht="15" hidden="1" outlineLevel="2">
      <c r="C1826" s="1464"/>
      <c r="D1826" s="1464"/>
      <c r="E1826" s="1459"/>
      <c r="F1826" s="1462"/>
      <c r="G1826" s="343"/>
      <c r="H1826" s="335" t="s">
        <v>22</v>
      </c>
      <c r="I1826" s="341"/>
      <c r="J1826" s="341"/>
      <c r="K1826" s="341"/>
      <c r="L1826" s="341"/>
      <c r="M1826" s="342"/>
      <c r="N1826" s="341"/>
      <c r="O1826" s="338">
        <f t="shared" si="825"/>
        <v>0</v>
      </c>
      <c r="P1826" s="341"/>
      <c r="Q1826" s="431"/>
      <c r="R1826" s="28">
        <f t="shared" si="833"/>
        <v>3.5000000000000003E-2</v>
      </c>
      <c r="S1826" s="17">
        <f t="shared" si="856"/>
        <v>0</v>
      </c>
      <c r="T1826" s="419">
        <f t="shared" si="857"/>
        <v>0</v>
      </c>
      <c r="U1826" s="43"/>
      <c r="V1826" s="44">
        <f t="shared" si="858"/>
        <v>0</v>
      </c>
      <c r="W1826" s="35">
        <f t="shared" si="859"/>
        <v>0</v>
      </c>
      <c r="X1826" s="35"/>
      <c r="Y1826" s="45">
        <f t="shared" si="860"/>
        <v>0</v>
      </c>
      <c r="Z1826" s="45" t="e">
        <f t="shared" si="861"/>
        <v>#DIV/0!</v>
      </c>
    </row>
    <row r="1827" spans="3:26" ht="15" hidden="1" outlineLevel="2">
      <c r="C1827" s="1464"/>
      <c r="D1827" s="1464"/>
      <c r="E1827" s="1459"/>
      <c r="F1827" s="1462"/>
      <c r="G1827" s="344"/>
      <c r="H1827" s="335" t="s">
        <v>22</v>
      </c>
      <c r="I1827" s="345"/>
      <c r="J1827" s="345"/>
      <c r="K1827" s="345"/>
      <c r="L1827" s="345"/>
      <c r="M1827" s="346"/>
      <c r="N1827" s="345"/>
      <c r="O1827" s="338">
        <f t="shared" si="825"/>
        <v>0</v>
      </c>
      <c r="P1827" s="345"/>
      <c r="Q1827" s="432"/>
      <c r="R1827" s="28">
        <f t="shared" si="833"/>
        <v>3.5000000000000003E-2</v>
      </c>
      <c r="S1827" s="17">
        <f t="shared" si="856"/>
        <v>0</v>
      </c>
      <c r="T1827" s="419">
        <f t="shared" si="857"/>
        <v>0</v>
      </c>
      <c r="U1827" s="43"/>
      <c r="V1827" s="44">
        <f t="shared" si="858"/>
        <v>0</v>
      </c>
      <c r="W1827" s="35">
        <f t="shared" si="859"/>
        <v>0</v>
      </c>
      <c r="X1827" s="35"/>
      <c r="Y1827" s="45">
        <f t="shared" si="860"/>
        <v>0</v>
      </c>
      <c r="Z1827" s="45" t="e">
        <f t="shared" si="861"/>
        <v>#DIV/0!</v>
      </c>
    </row>
    <row r="1828" spans="3:26" ht="15" hidden="1" outlineLevel="2">
      <c r="C1828" s="1464"/>
      <c r="D1828" s="1464"/>
      <c r="E1828" s="1459"/>
      <c r="F1828" s="1462"/>
      <c r="G1828" s="343"/>
      <c r="H1828" s="335" t="s">
        <v>22</v>
      </c>
      <c r="I1828" s="341"/>
      <c r="J1828" s="341"/>
      <c r="K1828" s="341"/>
      <c r="L1828" s="341"/>
      <c r="M1828" s="342"/>
      <c r="N1828" s="341"/>
      <c r="O1828" s="338">
        <f t="shared" si="825"/>
        <v>0</v>
      </c>
      <c r="P1828" s="341"/>
      <c r="Q1828" s="431"/>
      <c r="R1828" s="28">
        <f t="shared" si="833"/>
        <v>3.5000000000000003E-2</v>
      </c>
      <c r="S1828" s="17">
        <f t="shared" si="856"/>
        <v>0</v>
      </c>
      <c r="T1828" s="419">
        <f t="shared" si="857"/>
        <v>0</v>
      </c>
      <c r="U1828" s="43"/>
      <c r="V1828" s="44">
        <f t="shared" si="858"/>
        <v>0</v>
      </c>
      <c r="W1828" s="35">
        <f t="shared" si="859"/>
        <v>0</v>
      </c>
      <c r="X1828" s="35"/>
      <c r="Y1828" s="45">
        <f t="shared" si="860"/>
        <v>0</v>
      </c>
      <c r="Z1828" s="45" t="e">
        <f t="shared" si="861"/>
        <v>#DIV/0!</v>
      </c>
    </row>
    <row r="1829" spans="3:26" ht="15" hidden="1" outlineLevel="2">
      <c r="C1829" s="1464"/>
      <c r="D1829" s="1464"/>
      <c r="E1829" s="1459"/>
      <c r="F1829" s="1462"/>
      <c r="G1829" s="1454" t="s">
        <v>44</v>
      </c>
      <c r="H1829" s="1455"/>
      <c r="I1829" s="371">
        <f>SUM(I1819:I1828)</f>
        <v>0</v>
      </c>
      <c r="J1829" s="371">
        <f t="shared" ref="J1829" si="862">SUM(J1819:J1828)</f>
        <v>0</v>
      </c>
      <c r="K1829" s="371">
        <f>SUMIFS(K1819:K1828,K1819:K1828,"&lt;&gt;",K1819:K1828,"&lt;"&amp;99^99)</f>
        <v>0</v>
      </c>
      <c r="L1829" s="371">
        <f>SUMIFS(L1819:L1828,L1819:L1828,"&lt;&gt;",L1819:L1828,"&lt;"&amp;99^99)</f>
        <v>0</v>
      </c>
      <c r="M1829" s="359"/>
      <c r="N1829" s="371">
        <f>N1819</f>
        <v>0</v>
      </c>
      <c r="O1829" s="367">
        <f t="shared" si="825"/>
        <v>0</v>
      </c>
      <c r="P1829" s="371">
        <f t="shared" ref="P1829:Q1829" si="863">SUM(P1819:P1828)</f>
        <v>0</v>
      </c>
      <c r="Q1829" s="438">
        <f t="shared" si="863"/>
        <v>0</v>
      </c>
      <c r="R1829" s="37" t="str">
        <f t="shared" si="833"/>
        <v/>
      </c>
      <c r="S1829" s="37">
        <f>SUM(S1819:S1828)</f>
        <v>0</v>
      </c>
      <c r="T1829" s="420">
        <f t="shared" ref="T1829" si="864">SUM(T1819:T1828)</f>
        <v>0</v>
      </c>
      <c r="U1829" s="37"/>
      <c r="V1829" s="37"/>
      <c r="W1829" s="37">
        <f t="shared" ref="W1829" si="865">SUM(W1819:W1828)</f>
        <v>0</v>
      </c>
      <c r="X1829" s="37"/>
      <c r="Y1829" s="37">
        <f t="shared" ref="Y1829" si="866">SUM(Y1819:Y1828)</f>
        <v>0</v>
      </c>
      <c r="Z1829" s="37">
        <f>SUMIFS(Z1819:Z1828,Y1819:Y1828,"&lt;&gt;",Z1819:Z1828,"&lt;"&amp;99^99)</f>
        <v>0</v>
      </c>
    </row>
    <row r="1830" spans="3:26" ht="15" hidden="1" outlineLevel="1" collapsed="1">
      <c r="C1830" s="1464"/>
      <c r="D1830" s="1464"/>
      <c r="E1830" s="1459"/>
      <c r="F1830" s="1463"/>
      <c r="G1830" s="1454" t="s">
        <v>177</v>
      </c>
      <c r="H1830" s="1455"/>
      <c r="I1830" s="371">
        <f>(I1807/usdrate)+(I1818*jodrate)+I1829</f>
        <v>0</v>
      </c>
      <c r="J1830" s="371">
        <f>(J1807/usdrate)+(J1818*jodrate)+J1829</f>
        <v>0</v>
      </c>
      <c r="K1830" s="371">
        <f>(K1807/usdrate)+(K1818*jodrate)+K1829</f>
        <v>0</v>
      </c>
      <c r="L1830" s="371">
        <f>(L1807/usdrate)+(L1818*jodrate)+L1829</f>
        <v>0</v>
      </c>
      <c r="M1830" s="359"/>
      <c r="N1830" s="371">
        <f>(N1807/usdrate)+(N1818*jodrate)+N1829</f>
        <v>0</v>
      </c>
      <c r="O1830" s="367">
        <f t="shared" si="825"/>
        <v>0</v>
      </c>
      <c r="P1830" s="371">
        <f>(P1807/usdrate)+(P1818*jodrate)+P1829</f>
        <v>0</v>
      </c>
      <c r="Q1830" s="438">
        <f>(Q1807/usdrate)+(Q1818*jodrate)+Q1829</f>
        <v>0</v>
      </c>
      <c r="R1830" s="242"/>
      <c r="S1830" s="37">
        <f t="shared" ref="S1830:W1830" si="867">(S1807/usdrate)+(S1818*jodrate)+S1829</f>
        <v>0</v>
      </c>
      <c r="T1830" s="420">
        <f t="shared" si="867"/>
        <v>0</v>
      </c>
      <c r="U1830" s="37">
        <f t="shared" si="867"/>
        <v>0</v>
      </c>
      <c r="V1830" s="37">
        <f t="shared" si="867"/>
        <v>0</v>
      </c>
      <c r="W1830" s="37">
        <f t="shared" si="867"/>
        <v>0</v>
      </c>
      <c r="X1830" s="37"/>
      <c r="Y1830" s="37">
        <f t="shared" ref="Y1830:Z1830" si="868">(Y1807/usdrate)+(Y1818*jodrate)+Y1829</f>
        <v>0</v>
      </c>
      <c r="Z1830" s="37">
        <f t="shared" si="868"/>
        <v>0</v>
      </c>
    </row>
    <row r="1831" spans="3:26" ht="15" hidden="1" outlineLevel="2">
      <c r="C1831" s="1464"/>
      <c r="D1831" s="1464"/>
      <c r="E1831" s="1459"/>
      <c r="F1831" s="1461" t="s">
        <v>170</v>
      </c>
      <c r="G1831" s="353"/>
      <c r="H1831" s="340" t="s">
        <v>4</v>
      </c>
      <c r="I1831" s="341"/>
      <c r="J1831" s="341"/>
      <c r="K1831" s="370"/>
      <c r="L1831" s="370"/>
      <c r="M1831" s="337"/>
      <c r="N1831" s="336"/>
      <c r="O1831" s="338">
        <f t="shared" si="825"/>
        <v>0</v>
      </c>
      <c r="P1831" s="341"/>
      <c r="Q1831" s="431"/>
      <c r="T1831" s="418"/>
    </row>
    <row r="1832" spans="3:26" ht="15" hidden="1" outlineLevel="2">
      <c r="C1832" s="1464"/>
      <c r="D1832" s="1464"/>
      <c r="E1832" s="1459"/>
      <c r="F1832" s="1462"/>
      <c r="G1832" s="343"/>
      <c r="H1832" s="340" t="s">
        <v>4</v>
      </c>
      <c r="I1832" s="341"/>
      <c r="J1832" s="341"/>
      <c r="K1832" s="341"/>
      <c r="L1832" s="341"/>
      <c r="M1832" s="342"/>
      <c r="N1832" s="341">
        <v>0</v>
      </c>
      <c r="O1832" s="338">
        <f t="shared" si="825"/>
        <v>0</v>
      </c>
      <c r="P1832" s="341"/>
      <c r="Q1832" s="431"/>
      <c r="T1832" s="418"/>
    </row>
    <row r="1833" spans="3:26" ht="15" hidden="1" outlineLevel="2">
      <c r="C1833" s="1464"/>
      <c r="D1833" s="1464"/>
      <c r="E1833" s="1459"/>
      <c r="F1833" s="1462"/>
      <c r="G1833" s="343"/>
      <c r="H1833" s="340" t="s">
        <v>4</v>
      </c>
      <c r="I1833" s="341"/>
      <c r="J1833" s="341"/>
      <c r="K1833" s="341"/>
      <c r="L1833" s="341"/>
      <c r="M1833" s="337"/>
      <c r="N1833" s="341"/>
      <c r="O1833" s="338">
        <f t="shared" si="825"/>
        <v>0</v>
      </c>
      <c r="P1833" s="341"/>
      <c r="Q1833" s="431"/>
      <c r="T1833" s="418"/>
    </row>
    <row r="1834" spans="3:26" ht="15" hidden="1" outlineLevel="2">
      <c r="C1834" s="1464"/>
      <c r="D1834" s="1464"/>
      <c r="E1834" s="1459"/>
      <c r="F1834" s="1462"/>
      <c r="G1834" s="343"/>
      <c r="H1834" s="340" t="s">
        <v>4</v>
      </c>
      <c r="I1834" s="341"/>
      <c r="J1834" s="341"/>
      <c r="K1834" s="341"/>
      <c r="L1834" s="341"/>
      <c r="M1834" s="342"/>
      <c r="N1834" s="341"/>
      <c r="O1834" s="338">
        <f t="shared" si="825"/>
        <v>0</v>
      </c>
      <c r="P1834" s="341"/>
      <c r="Q1834" s="431"/>
      <c r="T1834" s="418"/>
    </row>
    <row r="1835" spans="3:26" ht="15" hidden="1" outlineLevel="2">
      <c r="C1835" s="1464"/>
      <c r="D1835" s="1464"/>
      <c r="E1835" s="1459"/>
      <c r="F1835" s="1462"/>
      <c r="G1835" s="343"/>
      <c r="H1835" s="340" t="s">
        <v>4</v>
      </c>
      <c r="I1835" s="341"/>
      <c r="J1835" s="341"/>
      <c r="K1835" s="341"/>
      <c r="L1835" s="341"/>
      <c r="M1835" s="342"/>
      <c r="N1835" s="341"/>
      <c r="O1835" s="338">
        <f t="shared" si="825"/>
        <v>0</v>
      </c>
      <c r="P1835" s="341"/>
      <c r="Q1835" s="431"/>
      <c r="T1835" s="418"/>
    </row>
    <row r="1836" spans="3:26" ht="15" hidden="1" outlineLevel="2">
      <c r="C1836" s="1464"/>
      <c r="D1836" s="1464"/>
      <c r="E1836" s="1459"/>
      <c r="F1836" s="1462"/>
      <c r="G1836" s="343"/>
      <c r="H1836" s="340" t="s">
        <v>4</v>
      </c>
      <c r="I1836" s="341"/>
      <c r="J1836" s="341"/>
      <c r="K1836" s="341"/>
      <c r="L1836" s="341"/>
      <c r="M1836" s="342"/>
      <c r="N1836" s="341"/>
      <c r="O1836" s="338">
        <f t="shared" si="825"/>
        <v>0</v>
      </c>
      <c r="P1836" s="341"/>
      <c r="Q1836" s="431"/>
      <c r="T1836" s="418"/>
    </row>
    <row r="1837" spans="3:26" ht="15" hidden="1" outlineLevel="2">
      <c r="C1837" s="1464"/>
      <c r="D1837" s="1464"/>
      <c r="E1837" s="1459"/>
      <c r="F1837" s="1462"/>
      <c r="G1837" s="343"/>
      <c r="H1837" s="340" t="s">
        <v>4</v>
      </c>
      <c r="I1837" s="341"/>
      <c r="J1837" s="341"/>
      <c r="K1837" s="341"/>
      <c r="L1837" s="341"/>
      <c r="M1837" s="342"/>
      <c r="N1837" s="341"/>
      <c r="O1837" s="338">
        <f t="shared" si="825"/>
        <v>0</v>
      </c>
      <c r="P1837" s="341"/>
      <c r="Q1837" s="431"/>
      <c r="T1837" s="418"/>
    </row>
    <row r="1838" spans="3:26" ht="15" hidden="1" outlineLevel="2">
      <c r="C1838" s="1464"/>
      <c r="D1838" s="1464"/>
      <c r="E1838" s="1459"/>
      <c r="F1838" s="1462"/>
      <c r="G1838" s="343"/>
      <c r="H1838" s="340" t="s">
        <v>4</v>
      </c>
      <c r="I1838" s="341"/>
      <c r="J1838" s="341"/>
      <c r="K1838" s="341"/>
      <c r="L1838" s="341"/>
      <c r="M1838" s="342"/>
      <c r="N1838" s="341"/>
      <c r="O1838" s="338">
        <f t="shared" si="825"/>
        <v>0</v>
      </c>
      <c r="P1838" s="341"/>
      <c r="Q1838" s="431"/>
      <c r="T1838" s="418"/>
    </row>
    <row r="1839" spans="3:26" ht="15" hidden="1" outlineLevel="2">
      <c r="C1839" s="1464"/>
      <c r="D1839" s="1464"/>
      <c r="E1839" s="1459"/>
      <c r="F1839" s="1462"/>
      <c r="G1839" s="344"/>
      <c r="H1839" s="340" t="s">
        <v>4</v>
      </c>
      <c r="I1839" s="345"/>
      <c r="J1839" s="345"/>
      <c r="K1839" s="345"/>
      <c r="L1839" s="345"/>
      <c r="M1839" s="346"/>
      <c r="N1839" s="345"/>
      <c r="O1839" s="338">
        <f t="shared" si="825"/>
        <v>0</v>
      </c>
      <c r="P1839" s="345"/>
      <c r="Q1839" s="432"/>
      <c r="T1839" s="418"/>
    </row>
    <row r="1840" spans="3:26" ht="15" hidden="1" outlineLevel="2">
      <c r="C1840" s="1464"/>
      <c r="D1840" s="1464"/>
      <c r="E1840" s="1459"/>
      <c r="F1840" s="1462"/>
      <c r="G1840" s="343"/>
      <c r="H1840" s="340" t="s">
        <v>4</v>
      </c>
      <c r="I1840" s="341"/>
      <c r="J1840" s="341"/>
      <c r="K1840" s="341"/>
      <c r="L1840" s="341"/>
      <c r="M1840" s="342"/>
      <c r="N1840" s="341"/>
      <c r="O1840" s="338">
        <f t="shared" si="825"/>
        <v>0</v>
      </c>
      <c r="P1840" s="341"/>
      <c r="Q1840" s="431"/>
      <c r="T1840" s="418"/>
    </row>
    <row r="1841" spans="3:20" ht="15" hidden="1" outlineLevel="2">
      <c r="C1841" s="1464"/>
      <c r="D1841" s="1464"/>
      <c r="E1841" s="1459"/>
      <c r="F1841" s="1462"/>
      <c r="G1841" s="1454" t="s">
        <v>45</v>
      </c>
      <c r="H1841" s="1455"/>
      <c r="I1841" s="371">
        <f>SUM(I1831:I1840)</f>
        <v>0</v>
      </c>
      <c r="J1841" s="371">
        <f t="shared" ref="J1841:K1841" si="869">SUM(J1831:J1840)</f>
        <v>0</v>
      </c>
      <c r="K1841" s="371">
        <f t="shared" si="869"/>
        <v>0</v>
      </c>
      <c r="L1841" s="371">
        <f t="shared" ref="L1841" si="870">SUM(L1831:L1840)</f>
        <v>0</v>
      </c>
      <c r="M1841" s="359"/>
      <c r="N1841" s="371">
        <f>N1831</f>
        <v>0</v>
      </c>
      <c r="O1841" s="367">
        <f t="shared" si="825"/>
        <v>0</v>
      </c>
      <c r="P1841" s="371">
        <f t="shared" ref="P1841:Q1841" si="871">SUM(P1831:P1840)</f>
        <v>0</v>
      </c>
      <c r="Q1841" s="438">
        <f t="shared" si="871"/>
        <v>0</v>
      </c>
      <c r="T1841" s="418"/>
    </row>
    <row r="1842" spans="3:20" ht="15" hidden="1" outlineLevel="2">
      <c r="C1842" s="1464"/>
      <c r="D1842" s="1464"/>
      <c r="E1842" s="1459"/>
      <c r="F1842" s="1462"/>
      <c r="G1842" s="350"/>
      <c r="H1842" s="335" t="s">
        <v>28</v>
      </c>
      <c r="I1842" s="336"/>
      <c r="J1842" s="336"/>
      <c r="K1842" s="336"/>
      <c r="L1842" s="336"/>
      <c r="M1842" s="337"/>
      <c r="N1842" s="336"/>
      <c r="O1842" s="338">
        <f t="shared" si="825"/>
        <v>0</v>
      </c>
      <c r="P1842" s="336"/>
      <c r="Q1842" s="430"/>
      <c r="T1842" s="418"/>
    </row>
    <row r="1843" spans="3:20" ht="15" hidden="1" outlineLevel="2">
      <c r="C1843" s="1464"/>
      <c r="D1843" s="1464"/>
      <c r="E1843" s="1459"/>
      <c r="F1843" s="1462"/>
      <c r="G1843" s="343"/>
      <c r="H1843" s="335" t="s">
        <v>28</v>
      </c>
      <c r="I1843" s="341"/>
      <c r="J1843" s="341"/>
      <c r="K1843" s="341"/>
      <c r="L1843" s="341"/>
      <c r="M1843" s="342"/>
      <c r="N1843" s="341"/>
      <c r="O1843" s="338">
        <f t="shared" si="825"/>
        <v>0</v>
      </c>
      <c r="P1843" s="341"/>
      <c r="Q1843" s="431"/>
      <c r="T1843" s="418"/>
    </row>
    <row r="1844" spans="3:20" ht="15" hidden="1" outlineLevel="2">
      <c r="C1844" s="1464"/>
      <c r="D1844" s="1464"/>
      <c r="E1844" s="1459"/>
      <c r="F1844" s="1462"/>
      <c r="G1844" s="343"/>
      <c r="H1844" s="335" t="s">
        <v>28</v>
      </c>
      <c r="I1844" s="341"/>
      <c r="J1844" s="341"/>
      <c r="K1844" s="341"/>
      <c r="L1844" s="341"/>
      <c r="M1844" s="337"/>
      <c r="N1844" s="341"/>
      <c r="O1844" s="338">
        <f t="shared" si="825"/>
        <v>0</v>
      </c>
      <c r="P1844" s="341"/>
      <c r="Q1844" s="431"/>
      <c r="T1844" s="418"/>
    </row>
    <row r="1845" spans="3:20" ht="15" hidden="1" outlineLevel="2">
      <c r="C1845" s="1464"/>
      <c r="D1845" s="1464"/>
      <c r="E1845" s="1459"/>
      <c r="F1845" s="1462"/>
      <c r="G1845" s="343"/>
      <c r="H1845" s="335" t="s">
        <v>28</v>
      </c>
      <c r="I1845" s="341"/>
      <c r="J1845" s="341"/>
      <c r="K1845" s="341"/>
      <c r="L1845" s="341"/>
      <c r="M1845" s="342"/>
      <c r="N1845" s="341"/>
      <c r="O1845" s="338">
        <f t="shared" si="825"/>
        <v>0</v>
      </c>
      <c r="P1845" s="341"/>
      <c r="Q1845" s="431"/>
      <c r="T1845" s="418"/>
    </row>
    <row r="1846" spans="3:20" ht="15" hidden="1" outlineLevel="2">
      <c r="C1846" s="1464"/>
      <c r="D1846" s="1464"/>
      <c r="E1846" s="1459"/>
      <c r="F1846" s="1462"/>
      <c r="G1846" s="343"/>
      <c r="H1846" s="335" t="s">
        <v>28</v>
      </c>
      <c r="I1846" s="341"/>
      <c r="J1846" s="341"/>
      <c r="K1846" s="341"/>
      <c r="L1846" s="341"/>
      <c r="M1846" s="342"/>
      <c r="N1846" s="341"/>
      <c r="O1846" s="338">
        <f t="shared" si="825"/>
        <v>0</v>
      </c>
      <c r="P1846" s="341"/>
      <c r="Q1846" s="431"/>
      <c r="T1846" s="418"/>
    </row>
    <row r="1847" spans="3:20" ht="15" hidden="1" outlineLevel="2">
      <c r="C1847" s="1464"/>
      <c r="D1847" s="1464"/>
      <c r="E1847" s="1459"/>
      <c r="F1847" s="1462"/>
      <c r="G1847" s="343"/>
      <c r="H1847" s="335" t="s">
        <v>28</v>
      </c>
      <c r="I1847" s="341"/>
      <c r="J1847" s="341"/>
      <c r="K1847" s="341"/>
      <c r="L1847" s="341"/>
      <c r="M1847" s="342"/>
      <c r="N1847" s="341"/>
      <c r="O1847" s="338">
        <f t="shared" si="825"/>
        <v>0</v>
      </c>
      <c r="P1847" s="341"/>
      <c r="Q1847" s="431"/>
      <c r="T1847" s="418"/>
    </row>
    <row r="1848" spans="3:20" ht="15" hidden="1" outlineLevel="2">
      <c r="C1848" s="1464"/>
      <c r="D1848" s="1464"/>
      <c r="E1848" s="1459"/>
      <c r="F1848" s="1462"/>
      <c r="G1848" s="343"/>
      <c r="H1848" s="335" t="s">
        <v>28</v>
      </c>
      <c r="I1848" s="341"/>
      <c r="J1848" s="341"/>
      <c r="K1848" s="341"/>
      <c r="L1848" s="341"/>
      <c r="M1848" s="342"/>
      <c r="N1848" s="341"/>
      <c r="O1848" s="338">
        <f t="shared" si="825"/>
        <v>0</v>
      </c>
      <c r="P1848" s="341"/>
      <c r="Q1848" s="431"/>
      <c r="T1848" s="418"/>
    </row>
    <row r="1849" spans="3:20" ht="15" hidden="1" outlineLevel="2">
      <c r="C1849" s="1464"/>
      <c r="D1849" s="1464"/>
      <c r="E1849" s="1459"/>
      <c r="F1849" s="1462"/>
      <c r="G1849" s="343"/>
      <c r="H1849" s="335" t="s">
        <v>28</v>
      </c>
      <c r="I1849" s="341"/>
      <c r="J1849" s="341"/>
      <c r="K1849" s="341"/>
      <c r="L1849" s="341"/>
      <c r="M1849" s="342"/>
      <c r="N1849" s="341"/>
      <c r="O1849" s="338">
        <f t="shared" si="825"/>
        <v>0</v>
      </c>
      <c r="P1849" s="341"/>
      <c r="Q1849" s="431"/>
      <c r="T1849" s="418"/>
    </row>
    <row r="1850" spans="3:20" ht="15" hidden="1" outlineLevel="2">
      <c r="C1850" s="1464"/>
      <c r="D1850" s="1464"/>
      <c r="E1850" s="1459"/>
      <c r="F1850" s="1462"/>
      <c r="G1850" s="344"/>
      <c r="H1850" s="335" t="s">
        <v>28</v>
      </c>
      <c r="I1850" s="345"/>
      <c r="J1850" s="345"/>
      <c r="K1850" s="345"/>
      <c r="L1850" s="345"/>
      <c r="M1850" s="346"/>
      <c r="N1850" s="345"/>
      <c r="O1850" s="338">
        <f t="shared" si="825"/>
        <v>0</v>
      </c>
      <c r="P1850" s="345"/>
      <c r="Q1850" s="432"/>
      <c r="T1850" s="418"/>
    </row>
    <row r="1851" spans="3:20" ht="15" hidden="1" outlineLevel="2">
      <c r="C1851" s="1464"/>
      <c r="D1851" s="1464"/>
      <c r="E1851" s="1459"/>
      <c r="F1851" s="1462"/>
      <c r="G1851" s="343"/>
      <c r="H1851" s="335" t="s">
        <v>28</v>
      </c>
      <c r="I1851" s="341"/>
      <c r="J1851" s="341"/>
      <c r="K1851" s="341"/>
      <c r="L1851" s="341"/>
      <c r="M1851" s="342"/>
      <c r="N1851" s="341"/>
      <c r="O1851" s="338">
        <f t="shared" si="825"/>
        <v>0</v>
      </c>
      <c r="P1851" s="341"/>
      <c r="Q1851" s="431"/>
      <c r="T1851" s="418"/>
    </row>
    <row r="1852" spans="3:20" ht="15" hidden="1" outlineLevel="2">
      <c r="C1852" s="1464"/>
      <c r="D1852" s="1464"/>
      <c r="E1852" s="1459"/>
      <c r="F1852" s="1462"/>
      <c r="G1852" s="1454" t="s">
        <v>51</v>
      </c>
      <c r="H1852" s="1455"/>
      <c r="I1852" s="371">
        <f>SUM(I1842:I1851)</f>
        <v>0</v>
      </c>
      <c r="J1852" s="371">
        <f t="shared" ref="J1852:K1852" si="872">SUM(J1842:J1851)</f>
        <v>0</v>
      </c>
      <c r="K1852" s="371">
        <f t="shared" si="872"/>
        <v>0</v>
      </c>
      <c r="L1852" s="371">
        <f t="shared" ref="L1852" si="873">SUM(L1842:L1851)</f>
        <v>0</v>
      </c>
      <c r="M1852" s="359"/>
      <c r="N1852" s="371">
        <f>N1842</f>
        <v>0</v>
      </c>
      <c r="O1852" s="367">
        <f t="shared" si="825"/>
        <v>0</v>
      </c>
      <c r="P1852" s="371">
        <f t="shared" ref="P1852:Q1852" si="874">SUM(P1842:P1851)</f>
        <v>0</v>
      </c>
      <c r="Q1852" s="438">
        <f t="shared" si="874"/>
        <v>0</v>
      </c>
      <c r="T1852" s="418"/>
    </row>
    <row r="1853" spans="3:20" ht="15" hidden="1" outlineLevel="2">
      <c r="C1853" s="1464"/>
      <c r="D1853" s="1464"/>
      <c r="E1853" s="1459"/>
      <c r="F1853" s="1462"/>
      <c r="G1853" s="350"/>
      <c r="H1853" s="335" t="s">
        <v>22</v>
      </c>
      <c r="I1853" s="336"/>
      <c r="J1853" s="336"/>
      <c r="K1853" s="336"/>
      <c r="L1853" s="336"/>
      <c r="M1853" s="337"/>
      <c r="N1853" s="336"/>
      <c r="O1853" s="338">
        <f t="shared" si="825"/>
        <v>0</v>
      </c>
      <c r="P1853" s="336"/>
      <c r="Q1853" s="430"/>
      <c r="T1853" s="418"/>
    </row>
    <row r="1854" spans="3:20" ht="15" hidden="1" outlineLevel="2">
      <c r="C1854" s="1464"/>
      <c r="D1854" s="1464"/>
      <c r="E1854" s="1459"/>
      <c r="F1854" s="1462"/>
      <c r="G1854" s="343"/>
      <c r="H1854" s="335" t="s">
        <v>22</v>
      </c>
      <c r="I1854" s="341"/>
      <c r="J1854" s="341"/>
      <c r="K1854" s="341"/>
      <c r="L1854" s="341"/>
      <c r="M1854" s="342"/>
      <c r="N1854" s="341"/>
      <c r="O1854" s="338">
        <f t="shared" si="825"/>
        <v>0</v>
      </c>
      <c r="P1854" s="341"/>
      <c r="Q1854" s="431"/>
      <c r="T1854" s="418"/>
    </row>
    <row r="1855" spans="3:20" ht="15" hidden="1" outlineLevel="2">
      <c r="C1855" s="1464"/>
      <c r="D1855" s="1464"/>
      <c r="E1855" s="1459"/>
      <c r="F1855" s="1462"/>
      <c r="G1855" s="343"/>
      <c r="H1855" s="335" t="s">
        <v>22</v>
      </c>
      <c r="I1855" s="341"/>
      <c r="J1855" s="341"/>
      <c r="K1855" s="341"/>
      <c r="L1855" s="341"/>
      <c r="M1855" s="337"/>
      <c r="N1855" s="341"/>
      <c r="O1855" s="338">
        <f t="shared" si="825"/>
        <v>0</v>
      </c>
      <c r="P1855" s="341"/>
      <c r="Q1855" s="431"/>
      <c r="T1855" s="418"/>
    </row>
    <row r="1856" spans="3:20" ht="15" hidden="1" outlineLevel="2">
      <c r="C1856" s="1464"/>
      <c r="D1856" s="1464"/>
      <c r="E1856" s="1459"/>
      <c r="F1856" s="1462"/>
      <c r="G1856" s="343"/>
      <c r="H1856" s="335" t="s">
        <v>22</v>
      </c>
      <c r="I1856" s="341"/>
      <c r="J1856" s="341"/>
      <c r="K1856" s="341"/>
      <c r="L1856" s="341"/>
      <c r="M1856" s="342"/>
      <c r="N1856" s="341"/>
      <c r="O1856" s="338">
        <f t="shared" ref="O1856:O1919" si="875">IF(N1856=0,0,N1856/J1856)</f>
        <v>0</v>
      </c>
      <c r="P1856" s="341"/>
      <c r="Q1856" s="431"/>
      <c r="T1856" s="418"/>
    </row>
    <row r="1857" spans="3:20" ht="15" hidden="1" outlineLevel="2">
      <c r="C1857" s="1464"/>
      <c r="D1857" s="1464"/>
      <c r="E1857" s="1459"/>
      <c r="F1857" s="1462"/>
      <c r="G1857" s="343"/>
      <c r="H1857" s="335" t="s">
        <v>22</v>
      </c>
      <c r="I1857" s="341"/>
      <c r="J1857" s="341"/>
      <c r="K1857" s="341"/>
      <c r="L1857" s="341"/>
      <c r="M1857" s="342"/>
      <c r="N1857" s="341"/>
      <c r="O1857" s="338">
        <f t="shared" si="875"/>
        <v>0</v>
      </c>
      <c r="P1857" s="341"/>
      <c r="Q1857" s="431"/>
      <c r="T1857" s="418"/>
    </row>
    <row r="1858" spans="3:20" ht="15" hidden="1" outlineLevel="2">
      <c r="C1858" s="1464"/>
      <c r="D1858" s="1464"/>
      <c r="E1858" s="1459"/>
      <c r="F1858" s="1462"/>
      <c r="G1858" s="343"/>
      <c r="H1858" s="335" t="s">
        <v>22</v>
      </c>
      <c r="I1858" s="341"/>
      <c r="J1858" s="341"/>
      <c r="K1858" s="341"/>
      <c r="L1858" s="341"/>
      <c r="M1858" s="342"/>
      <c r="N1858" s="341"/>
      <c r="O1858" s="338">
        <f t="shared" si="875"/>
        <v>0</v>
      </c>
      <c r="P1858" s="341"/>
      <c r="Q1858" s="431"/>
      <c r="T1858" s="418"/>
    </row>
    <row r="1859" spans="3:20" ht="15" hidden="1" outlineLevel="2">
      <c r="C1859" s="1464"/>
      <c r="D1859" s="1464"/>
      <c r="E1859" s="1459"/>
      <c r="F1859" s="1462"/>
      <c r="G1859" s="343"/>
      <c r="H1859" s="335" t="s">
        <v>22</v>
      </c>
      <c r="I1859" s="341"/>
      <c r="J1859" s="341"/>
      <c r="K1859" s="341"/>
      <c r="L1859" s="341"/>
      <c r="M1859" s="342"/>
      <c r="N1859" s="341"/>
      <c r="O1859" s="338">
        <f t="shared" si="875"/>
        <v>0</v>
      </c>
      <c r="P1859" s="341"/>
      <c r="Q1859" s="431"/>
      <c r="T1859" s="418"/>
    </row>
    <row r="1860" spans="3:20" ht="15" hidden="1" outlineLevel="2">
      <c r="C1860" s="1464"/>
      <c r="D1860" s="1464"/>
      <c r="E1860" s="1459"/>
      <c r="F1860" s="1462"/>
      <c r="G1860" s="343"/>
      <c r="H1860" s="335" t="s">
        <v>22</v>
      </c>
      <c r="I1860" s="341"/>
      <c r="J1860" s="341"/>
      <c r="K1860" s="341"/>
      <c r="L1860" s="341"/>
      <c r="M1860" s="342"/>
      <c r="N1860" s="341"/>
      <c r="O1860" s="338">
        <f t="shared" si="875"/>
        <v>0</v>
      </c>
      <c r="P1860" s="341"/>
      <c r="Q1860" s="431"/>
      <c r="T1860" s="418"/>
    </row>
    <row r="1861" spans="3:20" ht="15" hidden="1" outlineLevel="2">
      <c r="C1861" s="1464"/>
      <c r="D1861" s="1464"/>
      <c r="E1861" s="1459"/>
      <c r="F1861" s="1462"/>
      <c r="G1861" s="344"/>
      <c r="H1861" s="335" t="s">
        <v>22</v>
      </c>
      <c r="I1861" s="345"/>
      <c r="J1861" s="345"/>
      <c r="K1861" s="345"/>
      <c r="L1861" s="345"/>
      <c r="M1861" s="346"/>
      <c r="N1861" s="345"/>
      <c r="O1861" s="338">
        <f t="shared" si="875"/>
        <v>0</v>
      </c>
      <c r="P1861" s="345"/>
      <c r="Q1861" s="432"/>
      <c r="T1861" s="418"/>
    </row>
    <row r="1862" spans="3:20" ht="15" hidden="1" outlineLevel="2">
      <c r="C1862" s="1464"/>
      <c r="D1862" s="1464"/>
      <c r="E1862" s="1459"/>
      <c r="F1862" s="1462"/>
      <c r="G1862" s="343"/>
      <c r="H1862" s="335" t="s">
        <v>22</v>
      </c>
      <c r="I1862" s="341"/>
      <c r="J1862" s="341"/>
      <c r="K1862" s="341"/>
      <c r="L1862" s="341"/>
      <c r="M1862" s="342"/>
      <c r="N1862" s="341"/>
      <c r="O1862" s="338">
        <f t="shared" si="875"/>
        <v>0</v>
      </c>
      <c r="P1862" s="341"/>
      <c r="Q1862" s="431"/>
      <c r="T1862" s="418"/>
    </row>
    <row r="1863" spans="3:20" ht="15" hidden="1" outlineLevel="2">
      <c r="C1863" s="1464"/>
      <c r="D1863" s="1464"/>
      <c r="E1863" s="1459"/>
      <c r="F1863" s="1462"/>
      <c r="G1863" s="1454" t="s">
        <v>44</v>
      </c>
      <c r="H1863" s="1455"/>
      <c r="I1863" s="371">
        <f>SUM(I1853:I1862)</f>
        <v>0</v>
      </c>
      <c r="J1863" s="371">
        <f t="shared" ref="J1863:K1863" si="876">SUM(J1853:J1862)</f>
        <v>0</v>
      </c>
      <c r="K1863" s="371">
        <f t="shared" si="876"/>
        <v>0</v>
      </c>
      <c r="L1863" s="371">
        <f t="shared" ref="L1863" si="877">SUM(L1853:L1862)</f>
        <v>0</v>
      </c>
      <c r="M1863" s="359"/>
      <c r="N1863" s="371">
        <f>N1853</f>
        <v>0</v>
      </c>
      <c r="O1863" s="367">
        <f t="shared" si="875"/>
        <v>0</v>
      </c>
      <c r="P1863" s="371">
        <f t="shared" ref="P1863:Q1863" si="878">SUM(P1853:P1862)</f>
        <v>0</v>
      </c>
      <c r="Q1863" s="438">
        <f t="shared" si="878"/>
        <v>0</v>
      </c>
      <c r="T1863" s="418"/>
    </row>
    <row r="1864" spans="3:20" ht="15" hidden="1" outlineLevel="1" collapsed="1">
      <c r="C1864" s="1464"/>
      <c r="D1864" s="1464"/>
      <c r="E1864" s="1459"/>
      <c r="F1864" s="1463"/>
      <c r="G1864" s="1454" t="s">
        <v>177</v>
      </c>
      <c r="H1864" s="1455"/>
      <c r="I1864" s="371">
        <f>(I1841/usdrate)+(I1852*jodrate)+I1863</f>
        <v>0</v>
      </c>
      <c r="J1864" s="371">
        <f>(J1841/usdrate)+(J1852*jodrate)+J1863</f>
        <v>0</v>
      </c>
      <c r="K1864" s="371">
        <f>(K1841/usdrate)+(K1852*jodrate)+K1863</f>
        <v>0</v>
      </c>
      <c r="L1864" s="371">
        <f>(L1841/usdrate)+(L1852*jodrate)+L1863</f>
        <v>0</v>
      </c>
      <c r="M1864" s="359"/>
      <c r="N1864" s="371">
        <f>(N1841/usdrate)+(N1852*jodrate)+N1863</f>
        <v>0</v>
      </c>
      <c r="O1864" s="367">
        <f t="shared" si="875"/>
        <v>0</v>
      </c>
      <c r="P1864" s="371">
        <f>(P1841/usdrate)+(P1852*jodrate)+P1863</f>
        <v>0</v>
      </c>
      <c r="Q1864" s="438">
        <f>(Q1841/usdrate)+(Q1852*jodrate)+Q1863</f>
        <v>0</v>
      </c>
      <c r="T1864" s="418"/>
    </row>
    <row r="1865" spans="3:20" ht="15" hidden="1" outlineLevel="2">
      <c r="C1865" s="1464"/>
      <c r="D1865" s="1464"/>
      <c r="E1865" s="1459"/>
      <c r="F1865" s="1461" t="s">
        <v>171</v>
      </c>
      <c r="G1865" s="353"/>
      <c r="H1865" s="340" t="s">
        <v>4</v>
      </c>
      <c r="I1865" s="341"/>
      <c r="J1865" s="341"/>
      <c r="K1865" s="370"/>
      <c r="L1865" s="370"/>
      <c r="M1865" s="337"/>
      <c r="N1865" s="336"/>
      <c r="O1865" s="338">
        <f t="shared" si="875"/>
        <v>0</v>
      </c>
      <c r="P1865" s="341"/>
      <c r="Q1865" s="431"/>
      <c r="T1865" s="418"/>
    </row>
    <row r="1866" spans="3:20" ht="15" hidden="1" outlineLevel="2">
      <c r="C1866" s="1464"/>
      <c r="D1866" s="1464"/>
      <c r="E1866" s="1459"/>
      <c r="F1866" s="1462"/>
      <c r="G1866" s="343"/>
      <c r="H1866" s="340" t="s">
        <v>4</v>
      </c>
      <c r="I1866" s="341"/>
      <c r="J1866" s="341"/>
      <c r="K1866" s="341"/>
      <c r="L1866" s="341"/>
      <c r="M1866" s="342"/>
      <c r="N1866" s="341">
        <v>0</v>
      </c>
      <c r="O1866" s="338">
        <f t="shared" si="875"/>
        <v>0</v>
      </c>
      <c r="P1866" s="341"/>
      <c r="Q1866" s="431"/>
      <c r="T1866" s="418"/>
    </row>
    <row r="1867" spans="3:20" ht="15" hidden="1" outlineLevel="2">
      <c r="C1867" s="1464"/>
      <c r="D1867" s="1464"/>
      <c r="E1867" s="1459"/>
      <c r="F1867" s="1462"/>
      <c r="G1867" s="343"/>
      <c r="H1867" s="340" t="s">
        <v>4</v>
      </c>
      <c r="I1867" s="341"/>
      <c r="J1867" s="341"/>
      <c r="K1867" s="341"/>
      <c r="L1867" s="341"/>
      <c r="M1867" s="337"/>
      <c r="N1867" s="341"/>
      <c r="O1867" s="338">
        <f t="shared" si="875"/>
        <v>0</v>
      </c>
      <c r="P1867" s="341"/>
      <c r="Q1867" s="431"/>
      <c r="T1867" s="418"/>
    </row>
    <row r="1868" spans="3:20" ht="15" hidden="1" outlineLevel="2">
      <c r="C1868" s="1464"/>
      <c r="D1868" s="1464"/>
      <c r="E1868" s="1459"/>
      <c r="F1868" s="1462"/>
      <c r="G1868" s="343"/>
      <c r="H1868" s="340" t="s">
        <v>4</v>
      </c>
      <c r="I1868" s="341"/>
      <c r="J1868" s="341"/>
      <c r="K1868" s="341"/>
      <c r="L1868" s="341"/>
      <c r="M1868" s="342"/>
      <c r="N1868" s="341"/>
      <c r="O1868" s="338">
        <f t="shared" si="875"/>
        <v>0</v>
      </c>
      <c r="P1868" s="341"/>
      <c r="Q1868" s="431"/>
      <c r="T1868" s="418"/>
    </row>
    <row r="1869" spans="3:20" ht="15" hidden="1" outlineLevel="2">
      <c r="C1869" s="1464"/>
      <c r="D1869" s="1464"/>
      <c r="E1869" s="1459"/>
      <c r="F1869" s="1462"/>
      <c r="G1869" s="343"/>
      <c r="H1869" s="340" t="s">
        <v>4</v>
      </c>
      <c r="I1869" s="341"/>
      <c r="J1869" s="341"/>
      <c r="K1869" s="341"/>
      <c r="L1869" s="341"/>
      <c r="M1869" s="342"/>
      <c r="N1869" s="341"/>
      <c r="O1869" s="338">
        <f t="shared" si="875"/>
        <v>0</v>
      </c>
      <c r="P1869" s="341"/>
      <c r="Q1869" s="431"/>
      <c r="T1869" s="418"/>
    </row>
    <row r="1870" spans="3:20" ht="15" hidden="1" outlineLevel="2">
      <c r="C1870" s="1464"/>
      <c r="D1870" s="1464"/>
      <c r="E1870" s="1459"/>
      <c r="F1870" s="1462"/>
      <c r="G1870" s="343"/>
      <c r="H1870" s="340" t="s">
        <v>4</v>
      </c>
      <c r="I1870" s="341"/>
      <c r="J1870" s="341"/>
      <c r="K1870" s="341"/>
      <c r="L1870" s="341"/>
      <c r="M1870" s="342"/>
      <c r="N1870" s="341"/>
      <c r="O1870" s="338">
        <f t="shared" si="875"/>
        <v>0</v>
      </c>
      <c r="P1870" s="341"/>
      <c r="Q1870" s="431"/>
      <c r="T1870" s="418"/>
    </row>
    <row r="1871" spans="3:20" ht="15" hidden="1" outlineLevel="2">
      <c r="C1871" s="1464"/>
      <c r="D1871" s="1464"/>
      <c r="E1871" s="1459"/>
      <c r="F1871" s="1462"/>
      <c r="G1871" s="343"/>
      <c r="H1871" s="340" t="s">
        <v>4</v>
      </c>
      <c r="I1871" s="341"/>
      <c r="J1871" s="341"/>
      <c r="K1871" s="341"/>
      <c r="L1871" s="341"/>
      <c r="M1871" s="342"/>
      <c r="N1871" s="341"/>
      <c r="O1871" s="338">
        <f t="shared" si="875"/>
        <v>0</v>
      </c>
      <c r="P1871" s="341"/>
      <c r="Q1871" s="431"/>
      <c r="T1871" s="418"/>
    </row>
    <row r="1872" spans="3:20" ht="15" hidden="1" outlineLevel="2">
      <c r="C1872" s="1464"/>
      <c r="D1872" s="1464"/>
      <c r="E1872" s="1459"/>
      <c r="F1872" s="1462"/>
      <c r="G1872" s="343"/>
      <c r="H1872" s="340" t="s">
        <v>4</v>
      </c>
      <c r="I1872" s="341"/>
      <c r="J1872" s="341"/>
      <c r="K1872" s="341"/>
      <c r="L1872" s="341"/>
      <c r="M1872" s="342"/>
      <c r="N1872" s="341"/>
      <c r="O1872" s="338">
        <f t="shared" si="875"/>
        <v>0</v>
      </c>
      <c r="P1872" s="341"/>
      <c r="Q1872" s="431"/>
      <c r="T1872" s="418"/>
    </row>
    <row r="1873" spans="3:20" ht="15" hidden="1" outlineLevel="2">
      <c r="C1873" s="1464"/>
      <c r="D1873" s="1464"/>
      <c r="E1873" s="1459"/>
      <c r="F1873" s="1462"/>
      <c r="G1873" s="344"/>
      <c r="H1873" s="340" t="s">
        <v>4</v>
      </c>
      <c r="I1873" s="345"/>
      <c r="J1873" s="345"/>
      <c r="K1873" s="345"/>
      <c r="L1873" s="345"/>
      <c r="M1873" s="346"/>
      <c r="N1873" s="345"/>
      <c r="O1873" s="338">
        <f t="shared" si="875"/>
        <v>0</v>
      </c>
      <c r="P1873" s="345"/>
      <c r="Q1873" s="432"/>
      <c r="T1873" s="418"/>
    </row>
    <row r="1874" spans="3:20" ht="15" hidden="1" outlineLevel="2">
      <c r="C1874" s="1464"/>
      <c r="D1874" s="1464"/>
      <c r="E1874" s="1459"/>
      <c r="F1874" s="1462"/>
      <c r="G1874" s="343"/>
      <c r="H1874" s="340" t="s">
        <v>4</v>
      </c>
      <c r="I1874" s="341"/>
      <c r="J1874" s="341"/>
      <c r="K1874" s="341"/>
      <c r="L1874" s="341"/>
      <c r="M1874" s="342"/>
      <c r="N1874" s="341"/>
      <c r="O1874" s="338">
        <f t="shared" si="875"/>
        <v>0</v>
      </c>
      <c r="P1874" s="341"/>
      <c r="Q1874" s="431"/>
      <c r="T1874" s="418"/>
    </row>
    <row r="1875" spans="3:20" ht="15" hidden="1" outlineLevel="2">
      <c r="C1875" s="1464"/>
      <c r="D1875" s="1464"/>
      <c r="E1875" s="1459"/>
      <c r="F1875" s="1462"/>
      <c r="G1875" s="1454" t="s">
        <v>45</v>
      </c>
      <c r="H1875" s="1455"/>
      <c r="I1875" s="371">
        <f>SUM(I1865:I1874)</f>
        <v>0</v>
      </c>
      <c r="J1875" s="371">
        <f t="shared" ref="J1875:K1875" si="879">SUM(J1865:J1874)</f>
        <v>0</v>
      </c>
      <c r="K1875" s="371">
        <f t="shared" si="879"/>
        <v>0</v>
      </c>
      <c r="L1875" s="371">
        <f t="shared" ref="L1875" si="880">SUM(L1865:L1874)</f>
        <v>0</v>
      </c>
      <c r="M1875" s="359"/>
      <c r="N1875" s="371">
        <f>N1865</f>
        <v>0</v>
      </c>
      <c r="O1875" s="367">
        <f t="shared" si="875"/>
        <v>0</v>
      </c>
      <c r="P1875" s="371">
        <f t="shared" ref="P1875:Q1875" si="881">SUM(P1865:P1874)</f>
        <v>0</v>
      </c>
      <c r="Q1875" s="438">
        <f t="shared" si="881"/>
        <v>0</v>
      </c>
      <c r="T1875" s="418"/>
    </row>
    <row r="1876" spans="3:20" ht="15" hidden="1" outlineLevel="2">
      <c r="C1876" s="1464"/>
      <c r="D1876" s="1464"/>
      <c r="E1876" s="1459"/>
      <c r="F1876" s="1462"/>
      <c r="G1876" s="350"/>
      <c r="H1876" s="335" t="s">
        <v>28</v>
      </c>
      <c r="I1876" s="336"/>
      <c r="J1876" s="336"/>
      <c r="K1876" s="336"/>
      <c r="L1876" s="336"/>
      <c r="M1876" s="337"/>
      <c r="N1876" s="336"/>
      <c r="O1876" s="338">
        <f t="shared" si="875"/>
        <v>0</v>
      </c>
      <c r="P1876" s="336"/>
      <c r="Q1876" s="430"/>
      <c r="T1876" s="418"/>
    </row>
    <row r="1877" spans="3:20" ht="15" hidden="1" outlineLevel="2">
      <c r="C1877" s="1464"/>
      <c r="D1877" s="1464"/>
      <c r="E1877" s="1459"/>
      <c r="F1877" s="1462"/>
      <c r="G1877" s="343"/>
      <c r="H1877" s="335" t="s">
        <v>28</v>
      </c>
      <c r="I1877" s="341"/>
      <c r="J1877" s="341"/>
      <c r="K1877" s="341"/>
      <c r="L1877" s="341"/>
      <c r="M1877" s="342"/>
      <c r="N1877" s="341"/>
      <c r="O1877" s="338">
        <f t="shared" si="875"/>
        <v>0</v>
      </c>
      <c r="P1877" s="341"/>
      <c r="Q1877" s="431"/>
      <c r="T1877" s="418"/>
    </row>
    <row r="1878" spans="3:20" ht="15" hidden="1" outlineLevel="2">
      <c r="C1878" s="1464"/>
      <c r="D1878" s="1464"/>
      <c r="E1878" s="1459"/>
      <c r="F1878" s="1462"/>
      <c r="G1878" s="343"/>
      <c r="H1878" s="335" t="s">
        <v>28</v>
      </c>
      <c r="I1878" s="341"/>
      <c r="J1878" s="341"/>
      <c r="K1878" s="341"/>
      <c r="L1878" s="341"/>
      <c r="M1878" s="337"/>
      <c r="N1878" s="341"/>
      <c r="O1878" s="338">
        <f t="shared" si="875"/>
        <v>0</v>
      </c>
      <c r="P1878" s="341"/>
      <c r="Q1878" s="431"/>
      <c r="T1878" s="418"/>
    </row>
    <row r="1879" spans="3:20" ht="15" hidden="1" outlineLevel="2">
      <c r="C1879" s="1464"/>
      <c r="D1879" s="1464"/>
      <c r="E1879" s="1459"/>
      <c r="F1879" s="1462"/>
      <c r="G1879" s="343"/>
      <c r="H1879" s="335" t="s">
        <v>28</v>
      </c>
      <c r="I1879" s="341"/>
      <c r="J1879" s="341"/>
      <c r="K1879" s="341"/>
      <c r="L1879" s="341"/>
      <c r="M1879" s="342"/>
      <c r="N1879" s="341"/>
      <c r="O1879" s="338">
        <f t="shared" si="875"/>
        <v>0</v>
      </c>
      <c r="P1879" s="341"/>
      <c r="Q1879" s="431"/>
      <c r="T1879" s="418"/>
    </row>
    <row r="1880" spans="3:20" ht="15" hidden="1" outlineLevel="2">
      <c r="C1880" s="1464"/>
      <c r="D1880" s="1464"/>
      <c r="E1880" s="1459"/>
      <c r="F1880" s="1462"/>
      <c r="G1880" s="343"/>
      <c r="H1880" s="335" t="s">
        <v>28</v>
      </c>
      <c r="I1880" s="341"/>
      <c r="J1880" s="341"/>
      <c r="K1880" s="341"/>
      <c r="L1880" s="341"/>
      <c r="M1880" s="342"/>
      <c r="N1880" s="341"/>
      <c r="O1880" s="338">
        <f t="shared" si="875"/>
        <v>0</v>
      </c>
      <c r="P1880" s="341"/>
      <c r="Q1880" s="431"/>
      <c r="T1880" s="418"/>
    </row>
    <row r="1881" spans="3:20" ht="15" hidden="1" outlineLevel="2">
      <c r="C1881" s="1464"/>
      <c r="D1881" s="1464"/>
      <c r="E1881" s="1459"/>
      <c r="F1881" s="1462"/>
      <c r="G1881" s="343"/>
      <c r="H1881" s="335" t="s">
        <v>28</v>
      </c>
      <c r="I1881" s="341"/>
      <c r="J1881" s="341"/>
      <c r="K1881" s="341"/>
      <c r="L1881" s="341"/>
      <c r="M1881" s="342"/>
      <c r="N1881" s="341"/>
      <c r="O1881" s="338">
        <f t="shared" si="875"/>
        <v>0</v>
      </c>
      <c r="P1881" s="341"/>
      <c r="Q1881" s="431"/>
      <c r="T1881" s="418"/>
    </row>
    <row r="1882" spans="3:20" ht="15" hidden="1" outlineLevel="2">
      <c r="C1882" s="1464"/>
      <c r="D1882" s="1464"/>
      <c r="E1882" s="1459"/>
      <c r="F1882" s="1462"/>
      <c r="G1882" s="343"/>
      <c r="H1882" s="335" t="s">
        <v>28</v>
      </c>
      <c r="I1882" s="341"/>
      <c r="J1882" s="341"/>
      <c r="K1882" s="341"/>
      <c r="L1882" s="341"/>
      <c r="M1882" s="342"/>
      <c r="N1882" s="341"/>
      <c r="O1882" s="338">
        <f t="shared" si="875"/>
        <v>0</v>
      </c>
      <c r="P1882" s="341"/>
      <c r="Q1882" s="431"/>
      <c r="T1882" s="418"/>
    </row>
    <row r="1883" spans="3:20" ht="15" hidden="1" outlineLevel="2">
      <c r="C1883" s="1464"/>
      <c r="D1883" s="1464"/>
      <c r="E1883" s="1459"/>
      <c r="F1883" s="1462"/>
      <c r="G1883" s="343"/>
      <c r="H1883" s="335" t="s">
        <v>28</v>
      </c>
      <c r="I1883" s="341"/>
      <c r="J1883" s="341"/>
      <c r="K1883" s="341"/>
      <c r="L1883" s="341"/>
      <c r="M1883" s="342"/>
      <c r="N1883" s="341"/>
      <c r="O1883" s="338">
        <f t="shared" si="875"/>
        <v>0</v>
      </c>
      <c r="P1883" s="341"/>
      <c r="Q1883" s="431"/>
      <c r="T1883" s="418"/>
    </row>
    <row r="1884" spans="3:20" ht="15" hidden="1" outlineLevel="2">
      <c r="C1884" s="1464"/>
      <c r="D1884" s="1464"/>
      <c r="E1884" s="1459"/>
      <c r="F1884" s="1462"/>
      <c r="G1884" s="344"/>
      <c r="H1884" s="335" t="s">
        <v>28</v>
      </c>
      <c r="I1884" s="345"/>
      <c r="J1884" s="345"/>
      <c r="K1884" s="345"/>
      <c r="L1884" s="345"/>
      <c r="M1884" s="346"/>
      <c r="N1884" s="345"/>
      <c r="O1884" s="338">
        <f t="shared" si="875"/>
        <v>0</v>
      </c>
      <c r="P1884" s="345"/>
      <c r="Q1884" s="432"/>
      <c r="T1884" s="418"/>
    </row>
    <row r="1885" spans="3:20" ht="15" hidden="1" outlineLevel="2">
      <c r="C1885" s="1464"/>
      <c r="D1885" s="1464"/>
      <c r="E1885" s="1459"/>
      <c r="F1885" s="1462"/>
      <c r="G1885" s="343"/>
      <c r="H1885" s="335" t="s">
        <v>28</v>
      </c>
      <c r="I1885" s="341"/>
      <c r="J1885" s="341"/>
      <c r="K1885" s="341"/>
      <c r="L1885" s="341"/>
      <c r="M1885" s="342"/>
      <c r="N1885" s="341"/>
      <c r="O1885" s="338">
        <f t="shared" si="875"/>
        <v>0</v>
      </c>
      <c r="P1885" s="341"/>
      <c r="Q1885" s="431"/>
      <c r="T1885" s="418"/>
    </row>
    <row r="1886" spans="3:20" ht="15" hidden="1" outlineLevel="2">
      <c r="C1886" s="1464"/>
      <c r="D1886" s="1464"/>
      <c r="E1886" s="1459"/>
      <c r="F1886" s="1462"/>
      <c r="G1886" s="1454" t="s">
        <v>51</v>
      </c>
      <c r="H1886" s="1455"/>
      <c r="I1886" s="371">
        <f>SUM(I1876:I1885)</f>
        <v>0</v>
      </c>
      <c r="J1886" s="371">
        <f t="shared" ref="J1886:K1886" si="882">SUM(J1876:J1885)</f>
        <v>0</v>
      </c>
      <c r="K1886" s="371">
        <f t="shared" si="882"/>
        <v>0</v>
      </c>
      <c r="L1886" s="371">
        <f t="shared" ref="L1886" si="883">SUM(L1876:L1885)</f>
        <v>0</v>
      </c>
      <c r="M1886" s="359"/>
      <c r="N1886" s="371">
        <f>N1876</f>
        <v>0</v>
      </c>
      <c r="O1886" s="367">
        <f t="shared" si="875"/>
        <v>0</v>
      </c>
      <c r="P1886" s="371">
        <f t="shared" ref="P1886:Q1886" si="884">SUM(P1876:P1885)</f>
        <v>0</v>
      </c>
      <c r="Q1886" s="438">
        <f t="shared" si="884"/>
        <v>0</v>
      </c>
      <c r="T1886" s="418"/>
    </row>
    <row r="1887" spans="3:20" ht="15" hidden="1" outlineLevel="2">
      <c r="C1887" s="1464"/>
      <c r="D1887" s="1464"/>
      <c r="E1887" s="1459"/>
      <c r="F1887" s="1462"/>
      <c r="G1887" s="350"/>
      <c r="H1887" s="335" t="s">
        <v>22</v>
      </c>
      <c r="I1887" s="336"/>
      <c r="J1887" s="336"/>
      <c r="K1887" s="336"/>
      <c r="L1887" s="336"/>
      <c r="M1887" s="337"/>
      <c r="N1887" s="336"/>
      <c r="O1887" s="338">
        <f t="shared" si="875"/>
        <v>0</v>
      </c>
      <c r="P1887" s="336"/>
      <c r="Q1887" s="430"/>
      <c r="T1887" s="418"/>
    </row>
    <row r="1888" spans="3:20" ht="15" hidden="1" outlineLevel="2">
      <c r="C1888" s="1464"/>
      <c r="D1888" s="1464"/>
      <c r="E1888" s="1459"/>
      <c r="F1888" s="1462"/>
      <c r="G1888" s="343"/>
      <c r="H1888" s="335" t="s">
        <v>22</v>
      </c>
      <c r="I1888" s="341"/>
      <c r="J1888" s="341"/>
      <c r="K1888" s="341"/>
      <c r="L1888" s="341"/>
      <c r="M1888" s="342"/>
      <c r="N1888" s="341"/>
      <c r="O1888" s="338">
        <f t="shared" si="875"/>
        <v>0</v>
      </c>
      <c r="P1888" s="341"/>
      <c r="Q1888" s="431"/>
      <c r="T1888" s="418"/>
    </row>
    <row r="1889" spans="3:20" ht="15" hidden="1" outlineLevel="2">
      <c r="C1889" s="1464"/>
      <c r="D1889" s="1464"/>
      <c r="E1889" s="1459"/>
      <c r="F1889" s="1462"/>
      <c r="G1889" s="343"/>
      <c r="H1889" s="335" t="s">
        <v>22</v>
      </c>
      <c r="I1889" s="341"/>
      <c r="J1889" s="341"/>
      <c r="K1889" s="341"/>
      <c r="L1889" s="341"/>
      <c r="M1889" s="337"/>
      <c r="N1889" s="341"/>
      <c r="O1889" s="338">
        <f t="shared" si="875"/>
        <v>0</v>
      </c>
      <c r="P1889" s="341"/>
      <c r="Q1889" s="431"/>
      <c r="T1889" s="418"/>
    </row>
    <row r="1890" spans="3:20" ht="15" hidden="1" outlineLevel="2">
      <c r="C1890" s="1464"/>
      <c r="D1890" s="1464"/>
      <c r="E1890" s="1459"/>
      <c r="F1890" s="1462"/>
      <c r="G1890" s="343"/>
      <c r="H1890" s="335" t="s">
        <v>22</v>
      </c>
      <c r="I1890" s="341"/>
      <c r="J1890" s="341"/>
      <c r="K1890" s="341"/>
      <c r="L1890" s="341"/>
      <c r="M1890" s="342"/>
      <c r="N1890" s="341"/>
      <c r="O1890" s="338">
        <f t="shared" si="875"/>
        <v>0</v>
      </c>
      <c r="P1890" s="341"/>
      <c r="Q1890" s="431"/>
      <c r="T1890" s="418"/>
    </row>
    <row r="1891" spans="3:20" ht="15" hidden="1" outlineLevel="2">
      <c r="C1891" s="1464"/>
      <c r="D1891" s="1464"/>
      <c r="E1891" s="1459"/>
      <c r="F1891" s="1462"/>
      <c r="G1891" s="343"/>
      <c r="H1891" s="335" t="s">
        <v>22</v>
      </c>
      <c r="I1891" s="341"/>
      <c r="J1891" s="341"/>
      <c r="K1891" s="341"/>
      <c r="L1891" s="341"/>
      <c r="M1891" s="342"/>
      <c r="N1891" s="341"/>
      <c r="O1891" s="338">
        <f t="shared" si="875"/>
        <v>0</v>
      </c>
      <c r="P1891" s="341"/>
      <c r="Q1891" s="431"/>
      <c r="T1891" s="418"/>
    </row>
    <row r="1892" spans="3:20" ht="15" hidden="1" outlineLevel="2">
      <c r="C1892" s="1464"/>
      <c r="D1892" s="1464"/>
      <c r="E1892" s="1459"/>
      <c r="F1892" s="1462"/>
      <c r="G1892" s="343"/>
      <c r="H1892" s="335" t="s">
        <v>22</v>
      </c>
      <c r="I1892" s="341"/>
      <c r="J1892" s="341"/>
      <c r="K1892" s="341"/>
      <c r="L1892" s="341"/>
      <c r="M1892" s="342"/>
      <c r="N1892" s="341"/>
      <c r="O1892" s="338">
        <f t="shared" si="875"/>
        <v>0</v>
      </c>
      <c r="P1892" s="341"/>
      <c r="Q1892" s="431"/>
      <c r="T1892" s="418"/>
    </row>
    <row r="1893" spans="3:20" ht="15" hidden="1" outlineLevel="2">
      <c r="C1893" s="1464"/>
      <c r="D1893" s="1464"/>
      <c r="E1893" s="1459"/>
      <c r="F1893" s="1462"/>
      <c r="G1893" s="343"/>
      <c r="H1893" s="335" t="s">
        <v>22</v>
      </c>
      <c r="I1893" s="341"/>
      <c r="J1893" s="341"/>
      <c r="K1893" s="341"/>
      <c r="L1893" s="341"/>
      <c r="M1893" s="342"/>
      <c r="N1893" s="341"/>
      <c r="O1893" s="338">
        <f t="shared" si="875"/>
        <v>0</v>
      </c>
      <c r="P1893" s="341"/>
      <c r="Q1893" s="431"/>
      <c r="T1893" s="418"/>
    </row>
    <row r="1894" spans="3:20" ht="15" hidden="1" outlineLevel="2">
      <c r="C1894" s="1464"/>
      <c r="D1894" s="1464"/>
      <c r="E1894" s="1459"/>
      <c r="F1894" s="1462"/>
      <c r="G1894" s="343"/>
      <c r="H1894" s="335" t="s">
        <v>22</v>
      </c>
      <c r="I1894" s="341"/>
      <c r="J1894" s="341"/>
      <c r="K1894" s="341"/>
      <c r="L1894" s="341"/>
      <c r="M1894" s="342"/>
      <c r="N1894" s="341"/>
      <c r="O1894" s="338">
        <f t="shared" si="875"/>
        <v>0</v>
      </c>
      <c r="P1894" s="341"/>
      <c r="Q1894" s="431"/>
      <c r="T1894" s="418"/>
    </row>
    <row r="1895" spans="3:20" ht="15" hidden="1" outlineLevel="2">
      <c r="C1895" s="1464"/>
      <c r="D1895" s="1464"/>
      <c r="E1895" s="1459"/>
      <c r="F1895" s="1462"/>
      <c r="G1895" s="344"/>
      <c r="H1895" s="335" t="s">
        <v>22</v>
      </c>
      <c r="I1895" s="345"/>
      <c r="J1895" s="345"/>
      <c r="K1895" s="345"/>
      <c r="L1895" s="345"/>
      <c r="M1895" s="346"/>
      <c r="N1895" s="345"/>
      <c r="O1895" s="338">
        <f t="shared" si="875"/>
        <v>0</v>
      </c>
      <c r="P1895" s="345"/>
      <c r="Q1895" s="432"/>
      <c r="T1895" s="418"/>
    </row>
    <row r="1896" spans="3:20" ht="15" hidden="1" outlineLevel="2">
      <c r="C1896" s="1464"/>
      <c r="D1896" s="1464"/>
      <c r="E1896" s="1459"/>
      <c r="F1896" s="1462"/>
      <c r="G1896" s="343"/>
      <c r="H1896" s="335" t="s">
        <v>22</v>
      </c>
      <c r="I1896" s="341"/>
      <c r="J1896" s="341"/>
      <c r="K1896" s="341"/>
      <c r="L1896" s="341"/>
      <c r="M1896" s="342"/>
      <c r="N1896" s="341"/>
      <c r="O1896" s="338">
        <f t="shared" si="875"/>
        <v>0</v>
      </c>
      <c r="P1896" s="341"/>
      <c r="Q1896" s="431"/>
      <c r="T1896" s="418"/>
    </row>
    <row r="1897" spans="3:20" ht="15" hidden="1" outlineLevel="2">
      <c r="C1897" s="1464"/>
      <c r="D1897" s="1464"/>
      <c r="E1897" s="1459"/>
      <c r="F1897" s="1462"/>
      <c r="G1897" s="1454" t="s">
        <v>44</v>
      </c>
      <c r="H1897" s="1455"/>
      <c r="I1897" s="371">
        <f>SUM(I1887:I1896)</f>
        <v>0</v>
      </c>
      <c r="J1897" s="371">
        <f t="shared" ref="J1897:K1897" si="885">SUM(J1887:J1896)</f>
        <v>0</v>
      </c>
      <c r="K1897" s="371">
        <f t="shared" si="885"/>
        <v>0</v>
      </c>
      <c r="L1897" s="371">
        <f t="shared" ref="L1897" si="886">SUM(L1887:L1896)</f>
        <v>0</v>
      </c>
      <c r="M1897" s="359"/>
      <c r="N1897" s="371">
        <f>N1887</f>
        <v>0</v>
      </c>
      <c r="O1897" s="367">
        <f t="shared" si="875"/>
        <v>0</v>
      </c>
      <c r="P1897" s="371">
        <f t="shared" ref="P1897:Q1897" si="887">SUM(P1887:P1896)</f>
        <v>0</v>
      </c>
      <c r="Q1897" s="438">
        <f t="shared" si="887"/>
        <v>0</v>
      </c>
      <c r="T1897" s="418"/>
    </row>
    <row r="1898" spans="3:20" ht="15" hidden="1" outlineLevel="1" collapsed="1">
      <c r="C1898" s="1464"/>
      <c r="D1898" s="1464"/>
      <c r="E1898" s="1459"/>
      <c r="F1898" s="1463"/>
      <c r="G1898" s="1454" t="s">
        <v>177</v>
      </c>
      <c r="H1898" s="1455"/>
      <c r="I1898" s="371">
        <f>(I1875/usdrate)+(I1886*jodrate)+I1897</f>
        <v>0</v>
      </c>
      <c r="J1898" s="371">
        <f>(J1875/usdrate)+(J1886*jodrate)+J1897</f>
        <v>0</v>
      </c>
      <c r="K1898" s="371">
        <f>(K1875/usdrate)+(K1886*jodrate)+K1897</f>
        <v>0</v>
      </c>
      <c r="L1898" s="371">
        <f>(L1875/usdrate)+(L1886*jodrate)+L1897</f>
        <v>0</v>
      </c>
      <c r="M1898" s="359"/>
      <c r="N1898" s="371">
        <f>(N1875/usdrate)+(N1886*jodrate)+N1897</f>
        <v>0</v>
      </c>
      <c r="O1898" s="367">
        <f t="shared" si="875"/>
        <v>0</v>
      </c>
      <c r="P1898" s="371">
        <f>(P1875/usdrate)+(P1886*jodrate)+P1897</f>
        <v>0</v>
      </c>
      <c r="Q1898" s="438">
        <f>(Q1875/usdrate)+(Q1886*jodrate)+Q1897</f>
        <v>0</v>
      </c>
      <c r="T1898" s="418"/>
    </row>
    <row r="1899" spans="3:20" ht="15" hidden="1" outlineLevel="2">
      <c r="C1899" s="1464"/>
      <c r="D1899" s="1464"/>
      <c r="E1899" s="1459"/>
      <c r="F1899" s="1461" t="s">
        <v>172</v>
      </c>
      <c r="G1899" s="350"/>
      <c r="H1899" s="335" t="s">
        <v>28</v>
      </c>
      <c r="I1899" s="336"/>
      <c r="J1899" s="336"/>
      <c r="K1899" s="336"/>
      <c r="L1899" s="336"/>
      <c r="M1899" s="337"/>
      <c r="N1899" s="336"/>
      <c r="O1899" s="338">
        <f t="shared" si="875"/>
        <v>0</v>
      </c>
      <c r="P1899" s="336"/>
      <c r="Q1899" s="430"/>
      <c r="T1899" s="418"/>
    </row>
    <row r="1900" spans="3:20" ht="15" hidden="1" outlineLevel="2">
      <c r="C1900" s="1464"/>
      <c r="D1900" s="1464"/>
      <c r="E1900" s="1459"/>
      <c r="F1900" s="1462"/>
      <c r="G1900" s="343"/>
      <c r="H1900" s="335" t="s">
        <v>28</v>
      </c>
      <c r="I1900" s="341"/>
      <c r="J1900" s="341"/>
      <c r="K1900" s="341"/>
      <c r="L1900" s="341"/>
      <c r="M1900" s="342"/>
      <c r="N1900" s="341"/>
      <c r="O1900" s="338">
        <f t="shared" si="875"/>
        <v>0</v>
      </c>
      <c r="P1900" s="341"/>
      <c r="Q1900" s="431"/>
      <c r="T1900" s="418"/>
    </row>
    <row r="1901" spans="3:20" ht="15" hidden="1" outlineLevel="2">
      <c r="C1901" s="1464"/>
      <c r="D1901" s="1464"/>
      <c r="E1901" s="1459"/>
      <c r="F1901" s="1462"/>
      <c r="G1901" s="343"/>
      <c r="H1901" s="335" t="s">
        <v>28</v>
      </c>
      <c r="I1901" s="341"/>
      <c r="J1901" s="341"/>
      <c r="K1901" s="341"/>
      <c r="L1901" s="341"/>
      <c r="M1901" s="337"/>
      <c r="N1901" s="341"/>
      <c r="O1901" s="338">
        <f t="shared" si="875"/>
        <v>0</v>
      </c>
      <c r="P1901" s="341"/>
      <c r="Q1901" s="431"/>
      <c r="T1901" s="418"/>
    </row>
    <row r="1902" spans="3:20" ht="15" hidden="1" outlineLevel="2">
      <c r="C1902" s="1464"/>
      <c r="D1902" s="1464"/>
      <c r="E1902" s="1459"/>
      <c r="F1902" s="1462"/>
      <c r="G1902" s="343"/>
      <c r="H1902" s="335" t="s">
        <v>28</v>
      </c>
      <c r="I1902" s="341"/>
      <c r="J1902" s="341"/>
      <c r="K1902" s="341"/>
      <c r="L1902" s="341"/>
      <c r="M1902" s="342"/>
      <c r="N1902" s="341"/>
      <c r="O1902" s="338">
        <f t="shared" si="875"/>
        <v>0</v>
      </c>
      <c r="P1902" s="341"/>
      <c r="Q1902" s="431"/>
      <c r="T1902" s="418"/>
    </row>
    <row r="1903" spans="3:20" ht="15" hidden="1" outlineLevel="2">
      <c r="C1903" s="1464"/>
      <c r="D1903" s="1464"/>
      <c r="E1903" s="1459"/>
      <c r="F1903" s="1462"/>
      <c r="G1903" s="343"/>
      <c r="H1903" s="335" t="s">
        <v>28</v>
      </c>
      <c r="I1903" s="341"/>
      <c r="J1903" s="341"/>
      <c r="K1903" s="341"/>
      <c r="L1903" s="341"/>
      <c r="M1903" s="342"/>
      <c r="N1903" s="341"/>
      <c r="O1903" s="338">
        <f t="shared" si="875"/>
        <v>0</v>
      </c>
      <c r="P1903" s="341"/>
      <c r="Q1903" s="431"/>
      <c r="T1903" s="418"/>
    </row>
    <row r="1904" spans="3:20" ht="15" hidden="1" outlineLevel="2">
      <c r="C1904" s="1464"/>
      <c r="D1904" s="1464"/>
      <c r="E1904" s="1459"/>
      <c r="F1904" s="1462"/>
      <c r="G1904" s="343"/>
      <c r="H1904" s="335" t="s">
        <v>28</v>
      </c>
      <c r="I1904" s="341"/>
      <c r="J1904" s="341"/>
      <c r="K1904" s="341"/>
      <c r="L1904" s="341"/>
      <c r="M1904" s="342"/>
      <c r="N1904" s="341"/>
      <c r="O1904" s="338">
        <f t="shared" si="875"/>
        <v>0</v>
      </c>
      <c r="P1904" s="341"/>
      <c r="Q1904" s="431"/>
      <c r="T1904" s="418"/>
    </row>
    <row r="1905" spans="3:20" ht="15" hidden="1" outlineLevel="2">
      <c r="C1905" s="1464"/>
      <c r="D1905" s="1464"/>
      <c r="E1905" s="1459"/>
      <c r="F1905" s="1462"/>
      <c r="G1905" s="343"/>
      <c r="H1905" s="335" t="s">
        <v>28</v>
      </c>
      <c r="I1905" s="341"/>
      <c r="J1905" s="341"/>
      <c r="K1905" s="341"/>
      <c r="L1905" s="341"/>
      <c r="M1905" s="342"/>
      <c r="N1905" s="341"/>
      <c r="O1905" s="338">
        <f t="shared" si="875"/>
        <v>0</v>
      </c>
      <c r="P1905" s="341"/>
      <c r="Q1905" s="431"/>
      <c r="T1905" s="418"/>
    </row>
    <row r="1906" spans="3:20" ht="15" hidden="1" outlineLevel="2">
      <c r="C1906" s="1464"/>
      <c r="D1906" s="1464"/>
      <c r="E1906" s="1459"/>
      <c r="F1906" s="1462"/>
      <c r="G1906" s="343"/>
      <c r="H1906" s="335" t="s">
        <v>28</v>
      </c>
      <c r="I1906" s="341"/>
      <c r="J1906" s="341"/>
      <c r="K1906" s="341"/>
      <c r="L1906" s="341"/>
      <c r="M1906" s="342"/>
      <c r="N1906" s="341"/>
      <c r="O1906" s="338">
        <f t="shared" si="875"/>
        <v>0</v>
      </c>
      <c r="P1906" s="341"/>
      <c r="Q1906" s="431"/>
      <c r="T1906" s="418"/>
    </row>
    <row r="1907" spans="3:20" ht="15" hidden="1" outlineLevel="2">
      <c r="C1907" s="1464"/>
      <c r="D1907" s="1464"/>
      <c r="E1907" s="1459"/>
      <c r="F1907" s="1462"/>
      <c r="G1907" s="344"/>
      <c r="H1907" s="335" t="s">
        <v>28</v>
      </c>
      <c r="I1907" s="345"/>
      <c r="J1907" s="345"/>
      <c r="K1907" s="345"/>
      <c r="L1907" s="345"/>
      <c r="M1907" s="346"/>
      <c r="N1907" s="345"/>
      <c r="O1907" s="338">
        <f t="shared" si="875"/>
        <v>0</v>
      </c>
      <c r="P1907" s="345"/>
      <c r="Q1907" s="432"/>
      <c r="T1907" s="418"/>
    </row>
    <row r="1908" spans="3:20" ht="15" hidden="1" outlineLevel="2">
      <c r="C1908" s="1464"/>
      <c r="D1908" s="1464"/>
      <c r="E1908" s="1459"/>
      <c r="F1908" s="1462"/>
      <c r="G1908" s="343"/>
      <c r="H1908" s="335" t="s">
        <v>28</v>
      </c>
      <c r="I1908" s="341"/>
      <c r="J1908" s="341"/>
      <c r="K1908" s="341"/>
      <c r="L1908" s="341"/>
      <c r="M1908" s="342"/>
      <c r="N1908" s="341"/>
      <c r="O1908" s="338">
        <f t="shared" si="875"/>
        <v>0</v>
      </c>
      <c r="P1908" s="341"/>
      <c r="Q1908" s="431"/>
      <c r="T1908" s="418"/>
    </row>
    <row r="1909" spans="3:20" ht="15" hidden="1" outlineLevel="2">
      <c r="C1909" s="1464"/>
      <c r="D1909" s="1464"/>
      <c r="E1909" s="1459"/>
      <c r="F1909" s="1462"/>
      <c r="G1909" s="1454" t="s">
        <v>51</v>
      </c>
      <c r="H1909" s="1455"/>
      <c r="I1909" s="371">
        <f>SUM(I1899:I1908)</f>
        <v>0</v>
      </c>
      <c r="J1909" s="371">
        <f t="shared" ref="J1909:K1909" si="888">SUM(J1899:J1908)</f>
        <v>0</v>
      </c>
      <c r="K1909" s="371">
        <f t="shared" si="888"/>
        <v>0</v>
      </c>
      <c r="L1909" s="371">
        <f t="shared" ref="L1909" si="889">SUM(L1899:L1908)</f>
        <v>0</v>
      </c>
      <c r="M1909" s="359"/>
      <c r="N1909" s="371">
        <f>N1899</f>
        <v>0</v>
      </c>
      <c r="O1909" s="367">
        <f t="shared" si="875"/>
        <v>0</v>
      </c>
      <c r="P1909" s="371">
        <f t="shared" ref="P1909:Q1909" si="890">SUM(P1899:P1908)</f>
        <v>0</v>
      </c>
      <c r="Q1909" s="438">
        <f t="shared" si="890"/>
        <v>0</v>
      </c>
      <c r="T1909" s="418"/>
    </row>
    <row r="1910" spans="3:20" ht="15" hidden="1" outlineLevel="2">
      <c r="C1910" s="1464"/>
      <c r="D1910" s="1464"/>
      <c r="E1910" s="1459"/>
      <c r="F1910" s="1462"/>
      <c r="G1910" s="350"/>
      <c r="H1910" s="335" t="s">
        <v>22</v>
      </c>
      <c r="I1910" s="336"/>
      <c r="J1910" s="336"/>
      <c r="K1910" s="336"/>
      <c r="L1910" s="336"/>
      <c r="M1910" s="337"/>
      <c r="N1910" s="336"/>
      <c r="O1910" s="338">
        <f t="shared" si="875"/>
        <v>0</v>
      </c>
      <c r="P1910" s="336"/>
      <c r="Q1910" s="430"/>
      <c r="T1910" s="418"/>
    </row>
    <row r="1911" spans="3:20" ht="15" hidden="1" outlineLevel="2">
      <c r="C1911" s="1464"/>
      <c r="D1911" s="1464"/>
      <c r="E1911" s="1459"/>
      <c r="F1911" s="1462"/>
      <c r="G1911" s="343"/>
      <c r="H1911" s="335" t="s">
        <v>22</v>
      </c>
      <c r="I1911" s="341"/>
      <c r="J1911" s="341"/>
      <c r="K1911" s="341"/>
      <c r="L1911" s="341"/>
      <c r="M1911" s="342"/>
      <c r="N1911" s="341"/>
      <c r="O1911" s="338">
        <f t="shared" si="875"/>
        <v>0</v>
      </c>
      <c r="P1911" s="341"/>
      <c r="Q1911" s="431"/>
      <c r="T1911" s="418"/>
    </row>
    <row r="1912" spans="3:20" ht="15" hidden="1" outlineLevel="2">
      <c r="C1912" s="1464"/>
      <c r="D1912" s="1464"/>
      <c r="E1912" s="1459"/>
      <c r="F1912" s="1462"/>
      <c r="G1912" s="343"/>
      <c r="H1912" s="335" t="s">
        <v>22</v>
      </c>
      <c r="I1912" s="341"/>
      <c r="J1912" s="341"/>
      <c r="K1912" s="341"/>
      <c r="L1912" s="341"/>
      <c r="M1912" s="337"/>
      <c r="N1912" s="341"/>
      <c r="O1912" s="338">
        <f t="shared" si="875"/>
        <v>0</v>
      </c>
      <c r="P1912" s="341"/>
      <c r="Q1912" s="431"/>
      <c r="T1912" s="418"/>
    </row>
    <row r="1913" spans="3:20" ht="15" hidden="1" outlineLevel="2">
      <c r="C1913" s="1464"/>
      <c r="D1913" s="1464"/>
      <c r="E1913" s="1459"/>
      <c r="F1913" s="1462"/>
      <c r="G1913" s="343"/>
      <c r="H1913" s="335" t="s">
        <v>22</v>
      </c>
      <c r="I1913" s="341"/>
      <c r="J1913" s="341"/>
      <c r="K1913" s="341"/>
      <c r="L1913" s="341"/>
      <c r="M1913" s="342"/>
      <c r="N1913" s="341"/>
      <c r="O1913" s="338">
        <f t="shared" si="875"/>
        <v>0</v>
      </c>
      <c r="P1913" s="341"/>
      <c r="Q1913" s="431"/>
      <c r="T1913" s="418"/>
    </row>
    <row r="1914" spans="3:20" ht="15" hidden="1" outlineLevel="2">
      <c r="C1914" s="1464"/>
      <c r="D1914" s="1464"/>
      <c r="E1914" s="1459"/>
      <c r="F1914" s="1462"/>
      <c r="G1914" s="343"/>
      <c r="H1914" s="335" t="s">
        <v>22</v>
      </c>
      <c r="I1914" s="341"/>
      <c r="J1914" s="341"/>
      <c r="K1914" s="341"/>
      <c r="L1914" s="341"/>
      <c r="M1914" s="342"/>
      <c r="N1914" s="341"/>
      <c r="O1914" s="338">
        <f t="shared" si="875"/>
        <v>0</v>
      </c>
      <c r="P1914" s="341"/>
      <c r="Q1914" s="431"/>
      <c r="T1914" s="418"/>
    </row>
    <row r="1915" spans="3:20" ht="15" hidden="1" outlineLevel="2">
      <c r="C1915" s="1464"/>
      <c r="D1915" s="1464"/>
      <c r="E1915" s="1459"/>
      <c r="F1915" s="1462"/>
      <c r="G1915" s="343"/>
      <c r="H1915" s="335" t="s">
        <v>22</v>
      </c>
      <c r="I1915" s="341"/>
      <c r="J1915" s="341"/>
      <c r="K1915" s="341"/>
      <c r="L1915" s="341"/>
      <c r="M1915" s="342"/>
      <c r="N1915" s="341"/>
      <c r="O1915" s="338">
        <f t="shared" si="875"/>
        <v>0</v>
      </c>
      <c r="P1915" s="341"/>
      <c r="Q1915" s="431"/>
      <c r="T1915" s="418"/>
    </row>
    <row r="1916" spans="3:20" ht="15" hidden="1" outlineLevel="2">
      <c r="C1916" s="1464"/>
      <c r="D1916" s="1464"/>
      <c r="E1916" s="1459"/>
      <c r="F1916" s="1462"/>
      <c r="G1916" s="343"/>
      <c r="H1916" s="335" t="s">
        <v>22</v>
      </c>
      <c r="I1916" s="341"/>
      <c r="J1916" s="341"/>
      <c r="K1916" s="341"/>
      <c r="L1916" s="341"/>
      <c r="M1916" s="342"/>
      <c r="N1916" s="341"/>
      <c r="O1916" s="338">
        <f t="shared" si="875"/>
        <v>0</v>
      </c>
      <c r="P1916" s="341"/>
      <c r="Q1916" s="431"/>
      <c r="T1916" s="418"/>
    </row>
    <row r="1917" spans="3:20" ht="15" hidden="1" outlineLevel="2">
      <c r="C1917" s="1464"/>
      <c r="D1917" s="1464"/>
      <c r="E1917" s="1459"/>
      <c r="F1917" s="1462"/>
      <c r="G1917" s="343"/>
      <c r="H1917" s="335" t="s">
        <v>22</v>
      </c>
      <c r="I1917" s="341"/>
      <c r="J1917" s="341"/>
      <c r="K1917" s="341"/>
      <c r="L1917" s="341"/>
      <c r="M1917" s="342"/>
      <c r="N1917" s="341"/>
      <c r="O1917" s="338">
        <f t="shared" si="875"/>
        <v>0</v>
      </c>
      <c r="P1917" s="341"/>
      <c r="Q1917" s="431"/>
      <c r="T1917" s="418"/>
    </row>
    <row r="1918" spans="3:20" ht="15" hidden="1" outlineLevel="2">
      <c r="C1918" s="1464"/>
      <c r="D1918" s="1464"/>
      <c r="E1918" s="1459"/>
      <c r="F1918" s="1462"/>
      <c r="G1918" s="344"/>
      <c r="H1918" s="335" t="s">
        <v>22</v>
      </c>
      <c r="I1918" s="345"/>
      <c r="J1918" s="345"/>
      <c r="K1918" s="345"/>
      <c r="L1918" s="345"/>
      <c r="M1918" s="346"/>
      <c r="N1918" s="345"/>
      <c r="O1918" s="338">
        <f t="shared" si="875"/>
        <v>0</v>
      </c>
      <c r="P1918" s="345"/>
      <c r="Q1918" s="432"/>
      <c r="T1918" s="418"/>
    </row>
    <row r="1919" spans="3:20" ht="15" hidden="1" outlineLevel="2">
      <c r="C1919" s="1464"/>
      <c r="D1919" s="1464"/>
      <c r="E1919" s="1459"/>
      <c r="F1919" s="1462"/>
      <c r="G1919" s="343"/>
      <c r="H1919" s="335" t="s">
        <v>22</v>
      </c>
      <c r="I1919" s="341"/>
      <c r="J1919" s="341"/>
      <c r="K1919" s="341"/>
      <c r="L1919" s="341"/>
      <c r="M1919" s="342"/>
      <c r="N1919" s="341"/>
      <c r="O1919" s="338">
        <f t="shared" si="875"/>
        <v>0</v>
      </c>
      <c r="P1919" s="341"/>
      <c r="Q1919" s="431"/>
      <c r="T1919" s="418"/>
    </row>
    <row r="1920" spans="3:20" ht="15" hidden="1" outlineLevel="2">
      <c r="C1920" s="1464"/>
      <c r="D1920" s="1464"/>
      <c r="E1920" s="1459"/>
      <c r="F1920" s="1462"/>
      <c r="G1920" s="1454" t="s">
        <v>44</v>
      </c>
      <c r="H1920" s="1455"/>
      <c r="I1920" s="371">
        <f>SUM(I1910:I1919)</f>
        <v>0</v>
      </c>
      <c r="J1920" s="371">
        <f t="shared" ref="J1920:K1920" si="891">SUM(J1910:J1919)</f>
        <v>0</v>
      </c>
      <c r="K1920" s="371">
        <f t="shared" si="891"/>
        <v>0</v>
      </c>
      <c r="L1920" s="371">
        <f t="shared" ref="L1920" si="892">SUM(L1910:L1919)</f>
        <v>0</v>
      </c>
      <c r="M1920" s="359"/>
      <c r="N1920" s="371">
        <f>N1910</f>
        <v>0</v>
      </c>
      <c r="O1920" s="367">
        <f t="shared" ref="O1920:O1922" si="893">IF(N1920=0,0,N1920/J1920)</f>
        <v>0</v>
      </c>
      <c r="P1920" s="371">
        <f t="shared" ref="P1920:Q1920" si="894">SUM(P1910:P1919)</f>
        <v>0</v>
      </c>
      <c r="Q1920" s="438">
        <f t="shared" si="894"/>
        <v>0</v>
      </c>
      <c r="T1920" s="418"/>
    </row>
    <row r="1921" spans="3:20" ht="15" hidden="1" outlineLevel="1" collapsed="1">
      <c r="C1921" s="1464"/>
      <c r="D1921" s="1464"/>
      <c r="E1921" s="1459"/>
      <c r="F1921" s="1463"/>
      <c r="G1921" s="1454" t="s">
        <v>177</v>
      </c>
      <c r="H1921" s="1455"/>
      <c r="I1921" s="371">
        <f>(I1909*jodrate)+I1920</f>
        <v>0</v>
      </c>
      <c r="J1921" s="371">
        <f>(J1909*jodrate)+J1920</f>
        <v>0</v>
      </c>
      <c r="K1921" s="371">
        <f>(K1909*jodrate)+K1920</f>
        <v>0</v>
      </c>
      <c r="L1921" s="371">
        <f>(L1909*jodrate)+L1920</f>
        <v>0</v>
      </c>
      <c r="M1921" s="359"/>
      <c r="N1921" s="371">
        <f>(N1909*jodrate)+N1920</f>
        <v>0</v>
      </c>
      <c r="O1921" s="367">
        <f t="shared" si="893"/>
        <v>0</v>
      </c>
      <c r="P1921" s="371">
        <f>(P1909*jodrate)+P1920</f>
        <v>0</v>
      </c>
      <c r="Q1921" s="438">
        <f>(Q1909*jodrate)+Q1920</f>
        <v>0</v>
      </c>
      <c r="T1921" s="418"/>
    </row>
    <row r="1922" spans="3:20" ht="15.75" collapsed="1" thickBot="1">
      <c r="C1922" s="1465"/>
      <c r="D1922" s="1465"/>
      <c r="E1922" s="1460"/>
      <c r="F1922" s="1456" t="s">
        <v>176</v>
      </c>
      <c r="G1922" s="1457"/>
      <c r="H1922" s="1457"/>
      <c r="I1922" s="372">
        <f>I1730+I1796+I1830+I1864+I1898+I1921</f>
        <v>0</v>
      </c>
      <c r="J1922" s="372">
        <f t="shared" ref="J1922:K1922" si="895">J1730+J1796+J1830+J1864+J1898+J1921</f>
        <v>0</v>
      </c>
      <c r="K1922" s="372">
        <f t="shared" si="895"/>
        <v>0</v>
      </c>
      <c r="L1922" s="372">
        <f t="shared" ref="L1922" si="896">L1730+L1796+L1830+L1864+L1898+L1921</f>
        <v>0</v>
      </c>
      <c r="M1922" s="372"/>
      <c r="N1922" s="372">
        <f t="shared" ref="N1922" si="897">N1730+N1796+N1830+N1864+N1898+N1921</f>
        <v>0</v>
      </c>
      <c r="O1922" s="373">
        <f t="shared" si="893"/>
        <v>0</v>
      </c>
      <c r="P1922" s="372">
        <f t="shared" ref="P1922:Q1922" si="898">P1730+P1796+P1830+P1864+P1898+P1921</f>
        <v>0</v>
      </c>
      <c r="Q1922" s="439">
        <f t="shared" si="898"/>
        <v>0</v>
      </c>
      <c r="T1922" s="418"/>
    </row>
    <row r="1923" spans="3:20" ht="13.5" thickTop="1"/>
  </sheetData>
  <dataConsolidate/>
  <mergeCells count="271">
    <mergeCell ref="D387:D770"/>
    <mergeCell ref="C1:Q1"/>
    <mergeCell ref="F896:H896"/>
    <mergeCell ref="E897:E1154"/>
    <mergeCell ref="G925:H925"/>
    <mergeCell ref="G938:H938"/>
    <mergeCell ref="G958:H958"/>
    <mergeCell ref="G991:H991"/>
    <mergeCell ref="G1004:H1004"/>
    <mergeCell ref="G1024:H1024"/>
    <mergeCell ref="F1154:H1154"/>
    <mergeCell ref="G236:H236"/>
    <mergeCell ref="G256:H256"/>
    <mergeCell ref="F386:H386"/>
    <mergeCell ref="G541:H541"/>
    <mergeCell ref="G24:H24"/>
    <mergeCell ref="G35:H35"/>
    <mergeCell ref="G36:H36"/>
    <mergeCell ref="G126:H126"/>
    <mergeCell ref="G127:H127"/>
    <mergeCell ref="F3:F36"/>
    <mergeCell ref="F37:F70"/>
    <mergeCell ref="F105:F127"/>
    <mergeCell ref="F71:F104"/>
    <mergeCell ref="F679:F712"/>
    <mergeCell ref="R1:X1"/>
    <mergeCell ref="C771:C1154"/>
    <mergeCell ref="D771:D1154"/>
    <mergeCell ref="E771:E896"/>
    <mergeCell ref="F771:F804"/>
    <mergeCell ref="G781:H781"/>
    <mergeCell ref="G792:H792"/>
    <mergeCell ref="G803:H803"/>
    <mergeCell ref="G804:H804"/>
    <mergeCell ref="F805:F838"/>
    <mergeCell ref="G815:H815"/>
    <mergeCell ref="G826:H826"/>
    <mergeCell ref="G837:H837"/>
    <mergeCell ref="G838:H838"/>
    <mergeCell ref="F839:F872"/>
    <mergeCell ref="G849:H849"/>
    <mergeCell ref="G860:H860"/>
    <mergeCell ref="G871:H871"/>
    <mergeCell ref="G872:H872"/>
    <mergeCell ref="F873:F895"/>
    <mergeCell ref="G883:H883"/>
    <mergeCell ref="G894:H894"/>
    <mergeCell ref="G895:H895"/>
    <mergeCell ref="F770:H770"/>
    <mergeCell ref="F747:F769"/>
    <mergeCell ref="G757:H757"/>
    <mergeCell ref="G768:H768"/>
    <mergeCell ref="G769:H769"/>
    <mergeCell ref="F713:F746"/>
    <mergeCell ref="G723:H723"/>
    <mergeCell ref="G734:H734"/>
    <mergeCell ref="G745:H745"/>
    <mergeCell ref="G746:H746"/>
    <mergeCell ref="G689:H689"/>
    <mergeCell ref="E513:E770"/>
    <mergeCell ref="F513:F578"/>
    <mergeCell ref="E129:E386"/>
    <mergeCell ref="C3:C386"/>
    <mergeCell ref="E3:E128"/>
    <mergeCell ref="G271:H271"/>
    <mergeCell ref="G282:H282"/>
    <mergeCell ref="G293:H293"/>
    <mergeCell ref="G294:H294"/>
    <mergeCell ref="F261:F294"/>
    <mergeCell ref="F295:F328"/>
    <mergeCell ref="G327:H327"/>
    <mergeCell ref="G700:H700"/>
    <mergeCell ref="G711:H711"/>
    <mergeCell ref="G712:H712"/>
    <mergeCell ref="G488:H488"/>
    <mergeCell ref="G499:H499"/>
    <mergeCell ref="G510:H510"/>
    <mergeCell ref="G511:H511"/>
    <mergeCell ref="G554:H554"/>
    <mergeCell ref="D3:D386"/>
    <mergeCell ref="C387:C770"/>
    <mergeCell ref="G397:H397"/>
    <mergeCell ref="E387:E512"/>
    <mergeCell ref="F387:F420"/>
    <mergeCell ref="G328:H328"/>
    <mergeCell ref="G350:H350"/>
    <mergeCell ref="G361:H361"/>
    <mergeCell ref="G362:H362"/>
    <mergeCell ref="F363:F385"/>
    <mergeCell ref="G373:H373"/>
    <mergeCell ref="G384:H384"/>
    <mergeCell ref="G385:H385"/>
    <mergeCell ref="F329:F362"/>
    <mergeCell ref="F512:H512"/>
    <mergeCell ref="G408:H408"/>
    <mergeCell ref="G419:H419"/>
    <mergeCell ref="G420:H420"/>
    <mergeCell ref="F421:F454"/>
    <mergeCell ref="G431:H431"/>
    <mergeCell ref="G442:H442"/>
    <mergeCell ref="G453:H453"/>
    <mergeCell ref="G454:H454"/>
    <mergeCell ref="F455:F488"/>
    <mergeCell ref="G465:H465"/>
    <mergeCell ref="G476:H476"/>
    <mergeCell ref="G487:H487"/>
    <mergeCell ref="F645:F678"/>
    <mergeCell ref="G655:H655"/>
    <mergeCell ref="G260:H260"/>
    <mergeCell ref="G316:H316"/>
    <mergeCell ref="G194:H194"/>
    <mergeCell ref="F129:F194"/>
    <mergeCell ref="G305:H305"/>
    <mergeCell ref="F195:F260"/>
    <mergeCell ref="G157:H157"/>
    <mergeCell ref="G170:H170"/>
    <mergeCell ref="G190:H190"/>
    <mergeCell ref="G223:H223"/>
    <mergeCell ref="G574:H574"/>
    <mergeCell ref="G607:H607"/>
    <mergeCell ref="G620:H620"/>
    <mergeCell ref="G640:H640"/>
    <mergeCell ref="G578:H578"/>
    <mergeCell ref="F579:F644"/>
    <mergeCell ref="G644:H644"/>
    <mergeCell ref="G678:H678"/>
    <mergeCell ref="G666:H666"/>
    <mergeCell ref="G339:H339"/>
    <mergeCell ref="F500:F511"/>
    <mergeCell ref="G13:H13"/>
    <mergeCell ref="G92:H92"/>
    <mergeCell ref="G103:H103"/>
    <mergeCell ref="G104:H104"/>
    <mergeCell ref="G115:H115"/>
    <mergeCell ref="G47:H47"/>
    <mergeCell ref="G58:H58"/>
    <mergeCell ref="G69:H69"/>
    <mergeCell ref="G70:H70"/>
    <mergeCell ref="G81:H81"/>
    <mergeCell ref="F128:H128"/>
    <mergeCell ref="F897:F962"/>
    <mergeCell ref="F1097:F1130"/>
    <mergeCell ref="G1107:H1107"/>
    <mergeCell ref="G1118:H1118"/>
    <mergeCell ref="G1129:H1129"/>
    <mergeCell ref="G1130:H1130"/>
    <mergeCell ref="F1131:F1153"/>
    <mergeCell ref="G1141:H1141"/>
    <mergeCell ref="G1152:H1152"/>
    <mergeCell ref="G1153:H1153"/>
    <mergeCell ref="G962:H962"/>
    <mergeCell ref="F963:F1028"/>
    <mergeCell ref="G1028:H1028"/>
    <mergeCell ref="F1029:F1062"/>
    <mergeCell ref="G1039:H1039"/>
    <mergeCell ref="G1050:H1050"/>
    <mergeCell ref="G1061:H1061"/>
    <mergeCell ref="G1062:H1062"/>
    <mergeCell ref="F1063:F1096"/>
    <mergeCell ref="G1073:H1073"/>
    <mergeCell ref="G1084:H1084"/>
    <mergeCell ref="G1095:H1095"/>
    <mergeCell ref="G1096:H1096"/>
    <mergeCell ref="C1155:C1538"/>
    <mergeCell ref="D1155:D1538"/>
    <mergeCell ref="E1155:E1280"/>
    <mergeCell ref="F1155:F1188"/>
    <mergeCell ref="G1165:H1165"/>
    <mergeCell ref="G1176:H1176"/>
    <mergeCell ref="G1187:H1187"/>
    <mergeCell ref="G1188:H1188"/>
    <mergeCell ref="F1189:F1222"/>
    <mergeCell ref="G1199:H1199"/>
    <mergeCell ref="G1210:H1210"/>
    <mergeCell ref="G1221:H1221"/>
    <mergeCell ref="G1222:H1222"/>
    <mergeCell ref="F1223:F1256"/>
    <mergeCell ref="G1233:H1233"/>
    <mergeCell ref="G1244:H1244"/>
    <mergeCell ref="G1255:H1255"/>
    <mergeCell ref="G1256:H1256"/>
    <mergeCell ref="F1257:F1279"/>
    <mergeCell ref="G1267:H1267"/>
    <mergeCell ref="G1278:H1278"/>
    <mergeCell ref="G1279:H1279"/>
    <mergeCell ref="F1280:H1280"/>
    <mergeCell ref="E1281:E1538"/>
    <mergeCell ref="F1281:F1346"/>
    <mergeCell ref="G1309:H1309"/>
    <mergeCell ref="G1322:H1322"/>
    <mergeCell ref="G1342:H1342"/>
    <mergeCell ref="G1346:H1346"/>
    <mergeCell ref="F1347:F1412"/>
    <mergeCell ref="G1375:H1375"/>
    <mergeCell ref="G1388:H1388"/>
    <mergeCell ref="G1408:H1408"/>
    <mergeCell ref="G1412:H1412"/>
    <mergeCell ref="F1413:F1446"/>
    <mergeCell ref="G1423:H1423"/>
    <mergeCell ref="G1434:H1434"/>
    <mergeCell ref="G1445:H1445"/>
    <mergeCell ref="G1446:H1446"/>
    <mergeCell ref="F1447:F1480"/>
    <mergeCell ref="G1457:H1457"/>
    <mergeCell ref="G1468:H1468"/>
    <mergeCell ref="G1479:H1479"/>
    <mergeCell ref="G1480:H1480"/>
    <mergeCell ref="F1641:F1663"/>
    <mergeCell ref="G1651:H1651"/>
    <mergeCell ref="G1662:H1662"/>
    <mergeCell ref="G1663:H1663"/>
    <mergeCell ref="F1664:H1664"/>
    <mergeCell ref="F1831:F1864"/>
    <mergeCell ref="F1481:F1514"/>
    <mergeCell ref="G1491:H1491"/>
    <mergeCell ref="G1502:H1502"/>
    <mergeCell ref="G1513:H1513"/>
    <mergeCell ref="G1514:H1514"/>
    <mergeCell ref="F1515:F1537"/>
    <mergeCell ref="G1525:H1525"/>
    <mergeCell ref="G1536:H1536"/>
    <mergeCell ref="G1537:H1537"/>
    <mergeCell ref="G1864:H1864"/>
    <mergeCell ref="G1886:H1886"/>
    <mergeCell ref="F1538:H1538"/>
    <mergeCell ref="G1897:H1897"/>
    <mergeCell ref="G1898:H1898"/>
    <mergeCell ref="C1539:C1922"/>
    <mergeCell ref="D1539:D1922"/>
    <mergeCell ref="E1539:E1664"/>
    <mergeCell ref="F1539:F1572"/>
    <mergeCell ref="G1549:H1549"/>
    <mergeCell ref="G1560:H1560"/>
    <mergeCell ref="G1571:H1571"/>
    <mergeCell ref="G1572:H1572"/>
    <mergeCell ref="F1573:F1606"/>
    <mergeCell ref="G1583:H1583"/>
    <mergeCell ref="G1594:H1594"/>
    <mergeCell ref="G1605:H1605"/>
    <mergeCell ref="G1606:H1606"/>
    <mergeCell ref="F1607:F1640"/>
    <mergeCell ref="G1617:H1617"/>
    <mergeCell ref="G1628:H1628"/>
    <mergeCell ref="F1899:F1921"/>
    <mergeCell ref="G1639:H1639"/>
    <mergeCell ref="G1909:H1909"/>
    <mergeCell ref="G1640:H1640"/>
    <mergeCell ref="G1920:H1920"/>
    <mergeCell ref="G1921:H1921"/>
    <mergeCell ref="F1922:H1922"/>
    <mergeCell ref="E1665:E1922"/>
    <mergeCell ref="F1665:F1730"/>
    <mergeCell ref="G1693:H1693"/>
    <mergeCell ref="G1706:H1706"/>
    <mergeCell ref="G1726:H1726"/>
    <mergeCell ref="G1730:H1730"/>
    <mergeCell ref="F1731:F1796"/>
    <mergeCell ref="G1759:H1759"/>
    <mergeCell ref="G1772:H1772"/>
    <mergeCell ref="G1792:H1792"/>
    <mergeCell ref="G1796:H1796"/>
    <mergeCell ref="F1797:F1830"/>
    <mergeCell ref="G1807:H1807"/>
    <mergeCell ref="G1818:H1818"/>
    <mergeCell ref="G1829:H1829"/>
    <mergeCell ref="G1830:H1830"/>
    <mergeCell ref="G1841:H1841"/>
    <mergeCell ref="G1852:H1852"/>
    <mergeCell ref="G1863:H1863"/>
    <mergeCell ref="F1865:F1898"/>
    <mergeCell ref="G1875:H1875"/>
  </mergeCells>
  <conditionalFormatting sqref="A128 A386 A512 A770">
    <cfRule type="expression" dxfId="67" priority="37">
      <formula>$F128=""</formula>
    </cfRule>
  </conditionalFormatting>
  <conditionalFormatting sqref="A1280 A1538">
    <cfRule type="expression" dxfId="66" priority="2">
      <formula>$F1280=""</formula>
    </cfRule>
  </conditionalFormatting>
  <conditionalFormatting sqref="A896 A1154">
    <cfRule type="expression" dxfId="65" priority="3">
      <formula>$F896=""</formula>
    </cfRule>
  </conditionalFormatting>
  <conditionalFormatting sqref="A1664 A1922">
    <cfRule type="expression" dxfId="64" priority="1">
      <formula>$F1664=""</formula>
    </cfRule>
  </conditionalFormatting>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theme="6" tint="0.39997558519241921"/>
  </sheetPr>
  <dimension ref="A1:I54"/>
  <sheetViews>
    <sheetView showGridLines="0" rightToLeft="1" topLeftCell="A13" zoomScaleNormal="100" workbookViewId="0">
      <selection activeCell="C10" sqref="C10"/>
    </sheetView>
  </sheetViews>
  <sheetFormatPr defaultRowHeight="15"/>
  <cols>
    <col min="1" max="3" width="29.5703125" customWidth="1"/>
    <col min="4" max="4" width="23.140625" customWidth="1"/>
    <col min="5" max="5" width="29.5703125" customWidth="1"/>
    <col min="6" max="7" width="23.140625" customWidth="1"/>
  </cols>
  <sheetData>
    <row r="1" spans="1:7" s="262" customFormat="1" ht="18.75" customHeight="1">
      <c r="A1" s="1503" t="s">
        <v>385</v>
      </c>
      <c r="B1" s="1504"/>
      <c r="C1" s="1504"/>
      <c r="D1" s="1504"/>
      <c r="E1" s="1504"/>
      <c r="F1" s="1504"/>
      <c r="G1" s="1505"/>
    </row>
    <row r="2" spans="1:7" s="262" customFormat="1" ht="18.75" customHeight="1">
      <c r="A2" s="571" t="s">
        <v>352</v>
      </c>
      <c r="B2" s="572" t="s">
        <v>413</v>
      </c>
      <c r="C2" s="572" t="s">
        <v>353</v>
      </c>
      <c r="D2" s="584" t="s">
        <v>374</v>
      </c>
      <c r="E2" s="584" t="s">
        <v>424</v>
      </c>
      <c r="F2" s="584" t="s">
        <v>373</v>
      </c>
      <c r="G2" s="573" t="s">
        <v>377</v>
      </c>
    </row>
    <row r="3" spans="1:7" s="567" customFormat="1" ht="30" customHeight="1">
      <c r="A3" s="574" t="s">
        <v>363</v>
      </c>
      <c r="B3" s="575" t="s">
        <v>364</v>
      </c>
      <c r="C3" s="575" t="str">
        <f>التوصية!B14</f>
        <v>لا</v>
      </c>
      <c r="D3" s="585">
        <f>IF(التوصية!B14='بيانات للادخال'!M2,5,0)</f>
        <v>0</v>
      </c>
      <c r="E3" s="585"/>
      <c r="F3" s="586">
        <f>D3/'تحليل الائتمان'!$D$50</f>
        <v>0</v>
      </c>
      <c r="G3" s="576">
        <f t="shared" ref="G3:G11" si="0">IF(D3=0,0,F3/(D3/E3))</f>
        <v>0</v>
      </c>
    </row>
    <row r="4" spans="1:7" s="567" customFormat="1" ht="30" customHeight="1">
      <c r="A4" s="574" t="s">
        <v>362</v>
      </c>
      <c r="B4" s="575" t="s">
        <v>371</v>
      </c>
      <c r="C4" s="575" t="str">
        <f>التوصية!B233</f>
        <v>قضية مالية</v>
      </c>
      <c r="D4" s="585">
        <v>5</v>
      </c>
      <c r="E4" s="585"/>
      <c r="F4" s="586">
        <f>D4/'تحليل الائتمان'!$D$50</f>
        <v>7.2463768115942032E-2</v>
      </c>
      <c r="G4" s="576" t="e">
        <f t="shared" si="0"/>
        <v>#DIV/0!</v>
      </c>
    </row>
    <row r="5" spans="1:7" s="567" customFormat="1" ht="30" customHeight="1">
      <c r="A5" s="574" t="s">
        <v>354</v>
      </c>
      <c r="B5" s="575" t="s">
        <v>355</v>
      </c>
      <c r="C5" s="575">
        <f>التوصية!B199</f>
        <v>0</v>
      </c>
      <c r="D5" s="585">
        <v>5</v>
      </c>
      <c r="E5" s="585"/>
      <c r="F5" s="586">
        <f>D5/'تحليل الائتمان'!$D$50</f>
        <v>7.2463768115942032E-2</v>
      </c>
      <c r="G5" s="576" t="e">
        <f t="shared" si="0"/>
        <v>#DIV/0!</v>
      </c>
    </row>
    <row r="6" spans="1:7" s="567" customFormat="1" ht="30" customHeight="1">
      <c r="A6" s="574" t="s">
        <v>395</v>
      </c>
      <c r="B6" s="575" t="s">
        <v>397</v>
      </c>
      <c r="C6" s="577">
        <f ca="1">التوصية!D8</f>
        <v>121.6</v>
      </c>
      <c r="D6" s="587">
        <v>2</v>
      </c>
      <c r="E6" s="585"/>
      <c r="F6" s="586">
        <f>D6/'تحليل الائتمان'!$D$50</f>
        <v>2.8985507246376812E-2</v>
      </c>
      <c r="G6" s="576" t="e">
        <f t="shared" si="0"/>
        <v>#DIV/0!</v>
      </c>
    </row>
    <row r="7" spans="1:7" s="567" customFormat="1" ht="30" customHeight="1">
      <c r="A7" s="574" t="s">
        <v>396</v>
      </c>
      <c r="B7" s="575" t="s">
        <v>398</v>
      </c>
      <c r="C7" s="575" t="str">
        <f>التوصية!B10&amp;" - "&amp;التوصية!D10</f>
        <v xml:space="preserve"> - </v>
      </c>
      <c r="D7" s="585">
        <v>2</v>
      </c>
      <c r="E7" s="585"/>
      <c r="F7" s="586">
        <f>D7/'تحليل الائتمان'!$D$50</f>
        <v>2.8985507246376812E-2</v>
      </c>
      <c r="G7" s="576" t="e">
        <f t="shared" si="0"/>
        <v>#DIV/0!</v>
      </c>
    </row>
    <row r="8" spans="1:7" s="567" customFormat="1" ht="30" customHeight="1">
      <c r="A8" s="574" t="s">
        <v>387</v>
      </c>
      <c r="B8" s="575" t="s">
        <v>356</v>
      </c>
      <c r="C8" s="575" t="str">
        <f>التوصية!D24</f>
        <v>نعم</v>
      </c>
      <c r="D8" s="585">
        <v>5</v>
      </c>
      <c r="E8" s="585"/>
      <c r="F8" s="586">
        <f>D8/'تحليل الائتمان'!$D$50</f>
        <v>7.2463768115942032E-2</v>
      </c>
      <c r="G8" s="576" t="e">
        <f t="shared" si="0"/>
        <v>#DIV/0!</v>
      </c>
    </row>
    <row r="9" spans="1:7" s="567" customFormat="1" ht="30" customHeight="1">
      <c r="A9" s="574" t="s">
        <v>357</v>
      </c>
      <c r="B9" s="575" t="s">
        <v>358</v>
      </c>
      <c r="C9" s="575" t="str">
        <f>التوصية!B21&amp;". "&amp;التوصية!B27&amp;". "&amp;التوصية!B33&amp;". "&amp;التوصية!B39&amp;" ."</f>
        <v>. . .  .</v>
      </c>
      <c r="D9" s="585">
        <v>3</v>
      </c>
      <c r="E9" s="585"/>
      <c r="F9" s="586">
        <f>D9/'تحليل الائتمان'!$D$50</f>
        <v>4.3478260869565216E-2</v>
      </c>
      <c r="G9" s="576" t="e">
        <f t="shared" si="0"/>
        <v>#DIV/0!</v>
      </c>
    </row>
    <row r="10" spans="1:7" s="567" customFormat="1" ht="30" customHeight="1">
      <c r="A10" s="574" t="s">
        <v>359</v>
      </c>
      <c r="B10" s="575" t="s">
        <v>365</v>
      </c>
      <c r="C10" s="578">
        <f>التوصية!D174</f>
        <v>0</v>
      </c>
      <c r="D10" s="585">
        <v>4</v>
      </c>
      <c r="E10" s="585"/>
      <c r="F10" s="586">
        <f>D10/'تحليل الائتمان'!$D$50</f>
        <v>5.7971014492753624E-2</v>
      </c>
      <c r="G10" s="576" t="e">
        <f t="shared" si="0"/>
        <v>#DIV/0!</v>
      </c>
    </row>
    <row r="11" spans="1:7" s="567" customFormat="1" ht="30" customHeight="1">
      <c r="A11" s="574" t="s">
        <v>366</v>
      </c>
      <c r="B11" s="579">
        <v>0.5</v>
      </c>
      <c r="C11" s="579" t="e">
        <f>التوصية!D291</f>
        <v>#DIV/0!</v>
      </c>
      <c r="D11" s="585">
        <v>5</v>
      </c>
      <c r="E11" s="585"/>
      <c r="F11" s="586">
        <f>D11/'تحليل الائتمان'!$D$50</f>
        <v>7.2463768115942032E-2</v>
      </c>
      <c r="G11" s="576" t="e">
        <f t="shared" si="0"/>
        <v>#DIV/0!</v>
      </c>
    </row>
    <row r="12" spans="1:7" s="262" customFormat="1" ht="18.75" customHeight="1">
      <c r="A12" s="1500" t="s">
        <v>386</v>
      </c>
      <c r="B12" s="1501"/>
      <c r="C12" s="1501"/>
      <c r="D12" s="1501"/>
      <c r="E12" s="1501"/>
      <c r="F12" s="1501"/>
      <c r="G12" s="1502"/>
    </row>
    <row r="13" spans="1:7" s="262" customFormat="1" ht="18.75" customHeight="1">
      <c r="A13" s="571" t="s">
        <v>352</v>
      </c>
      <c r="B13" s="572" t="s">
        <v>413</v>
      </c>
      <c r="C13" s="572" t="s">
        <v>353</v>
      </c>
      <c r="D13" s="584" t="s">
        <v>374</v>
      </c>
      <c r="E13" s="584" t="s">
        <v>424</v>
      </c>
      <c r="F13" s="584" t="s">
        <v>373</v>
      </c>
      <c r="G13" s="573" t="s">
        <v>377</v>
      </c>
    </row>
    <row r="14" spans="1:7" s="567" customFormat="1" ht="30" customHeight="1">
      <c r="A14" s="574" t="str">
        <f>"تصنيف الكفيل "&amp;التوصية!B49&amp;" على نظام الشيكات"</f>
        <v>تصنيف الكفيل  على نظام الشيكات</v>
      </c>
      <c r="B14" s="575" t="s">
        <v>355</v>
      </c>
      <c r="C14" s="575">
        <f>التوصية!B206</f>
        <v>0</v>
      </c>
      <c r="D14" s="585">
        <f>IF(OR(التوصية!$B$49="",التوصية!$B$49="لا يوجد"),0,2)</f>
        <v>0</v>
      </c>
      <c r="E14" s="585"/>
      <c r="F14" s="586">
        <f t="shared" ref="F14:F25" si="1">D14/$D$50</f>
        <v>0</v>
      </c>
      <c r="G14" s="576">
        <f t="shared" ref="G14:G25" si="2">IF(D14=0,0,F14/(D14/E14))</f>
        <v>0</v>
      </c>
    </row>
    <row r="15" spans="1:7" s="567" customFormat="1" ht="30" customHeight="1">
      <c r="A15" s="574" t="str">
        <f>"تصنيف الكفيل "&amp;التوصية!C79&amp;" على نظام الشيكات"</f>
        <v>تصنيف الكفيل  على نظام الشيكات</v>
      </c>
      <c r="B15" s="575" t="s">
        <v>355</v>
      </c>
      <c r="C15" s="575">
        <f>التوصية!B213</f>
        <v>0</v>
      </c>
      <c r="D15" s="585">
        <f>IF(OR(التوصية!$C$79="",التوصية!$C$79="لا يوجد"),0,2)</f>
        <v>0</v>
      </c>
      <c r="E15" s="585"/>
      <c r="F15" s="586">
        <f t="shared" si="1"/>
        <v>0</v>
      </c>
      <c r="G15" s="576">
        <f t="shared" si="2"/>
        <v>0</v>
      </c>
    </row>
    <row r="16" spans="1:7" s="567" customFormat="1" ht="30" customHeight="1">
      <c r="A16" s="574" t="str">
        <f>"تصنيف الكفيل "&amp;التوصية!C109&amp;" على نظام الشيكات"</f>
        <v>تصنيف الكفيل  على نظام الشيكات</v>
      </c>
      <c r="B16" s="575" t="s">
        <v>355</v>
      </c>
      <c r="C16" s="575">
        <f>التوصية!B220</f>
        <v>0</v>
      </c>
      <c r="D16" s="585">
        <f>IF(OR(التوصية!$C$109="",التوصية!$C$109="لا يوجد"),0,2)</f>
        <v>0</v>
      </c>
      <c r="E16" s="585"/>
      <c r="F16" s="586">
        <f t="shared" si="1"/>
        <v>0</v>
      </c>
      <c r="G16" s="576">
        <f t="shared" si="2"/>
        <v>0</v>
      </c>
    </row>
    <row r="17" spans="1:7" s="567" customFormat="1" ht="30" customHeight="1">
      <c r="A17" s="574" t="str">
        <f>"تصنيف الكفيل "&amp;التوصية!C139&amp;" على نظام الشيكات"</f>
        <v>تصنيف الكفيل  على نظام الشيكات</v>
      </c>
      <c r="B17" s="575" t="s">
        <v>355</v>
      </c>
      <c r="C17" s="575">
        <f>التوصية!B227</f>
        <v>0</v>
      </c>
      <c r="D17" s="585">
        <f>IF(OR(التوصية!$C$139="",التوصية!$C$139="لا يوجد"),0,2)</f>
        <v>0</v>
      </c>
      <c r="E17" s="585"/>
      <c r="F17" s="586">
        <f t="shared" si="1"/>
        <v>0</v>
      </c>
      <c r="G17" s="576">
        <f t="shared" si="2"/>
        <v>0</v>
      </c>
    </row>
    <row r="18" spans="1:7" s="567" customFormat="1" ht="30" customHeight="1">
      <c r="A18" s="574" t="str">
        <f>"الكفيل "&amp;التوصية!B49&amp;" مثبّت في عمله"</f>
        <v>الكفيل  مثبّت في عمله</v>
      </c>
      <c r="B18" s="575" t="s">
        <v>356</v>
      </c>
      <c r="C18" s="575" t="str">
        <f>التوصية!D58</f>
        <v>نعم</v>
      </c>
      <c r="D18" s="585">
        <f>IF(OR(التوصية!$B$49="",التوصية!$B$49="لا يوجد"),0,2)</f>
        <v>0</v>
      </c>
      <c r="E18" s="585"/>
      <c r="F18" s="586">
        <f t="shared" si="1"/>
        <v>0</v>
      </c>
      <c r="G18" s="576">
        <f t="shared" si="2"/>
        <v>0</v>
      </c>
    </row>
    <row r="19" spans="1:7" s="567" customFormat="1" ht="30" customHeight="1">
      <c r="A19" s="574" t="str">
        <f>"الكفيل "&amp;التوصية!C79&amp;" مثبّت في عمله"</f>
        <v>الكفيل  مثبّت في عمله</v>
      </c>
      <c r="B19" s="575" t="s">
        <v>356</v>
      </c>
      <c r="C19" s="575" t="str">
        <f>التوصية!D88</f>
        <v>نعم</v>
      </c>
      <c r="D19" s="585">
        <f>IF(OR(التوصية!$C$79="",التوصية!$C$79="لا يوجد"),0,2)</f>
        <v>0</v>
      </c>
      <c r="E19" s="585"/>
      <c r="F19" s="586">
        <f t="shared" si="1"/>
        <v>0</v>
      </c>
      <c r="G19" s="576">
        <f t="shared" si="2"/>
        <v>0</v>
      </c>
    </row>
    <row r="20" spans="1:7" s="567" customFormat="1" ht="30" customHeight="1">
      <c r="A20" s="574" t="str">
        <f>"الكفيل "&amp;التوصية!C109&amp;" مثبّت في عمله"</f>
        <v>الكفيل  مثبّت في عمله</v>
      </c>
      <c r="B20" s="575" t="s">
        <v>356</v>
      </c>
      <c r="C20" s="575">
        <f>التوصية!D118</f>
        <v>0</v>
      </c>
      <c r="D20" s="585">
        <f>IF(OR(التوصية!$C$109="",التوصية!$C$109="لا يوجد"),0,2)</f>
        <v>0</v>
      </c>
      <c r="E20" s="585"/>
      <c r="F20" s="586">
        <f t="shared" si="1"/>
        <v>0</v>
      </c>
      <c r="G20" s="576">
        <f t="shared" si="2"/>
        <v>0</v>
      </c>
    </row>
    <row r="21" spans="1:7" s="567" customFormat="1" ht="30" customHeight="1">
      <c r="A21" s="574" t="str">
        <f>"الكفيل "&amp;التوصية!C139&amp;" مثبّت في عمله"</f>
        <v>الكفيل  مثبّت في عمله</v>
      </c>
      <c r="B21" s="575" t="s">
        <v>356</v>
      </c>
      <c r="C21" s="575">
        <f>التوصية!D148</f>
        <v>0</v>
      </c>
      <c r="D21" s="585">
        <f>IF(OR(التوصية!$C$139="",التوصية!$C$139="لا يوجد"),0,2)</f>
        <v>0</v>
      </c>
      <c r="E21" s="585"/>
      <c r="F21" s="586">
        <f t="shared" si="1"/>
        <v>0</v>
      </c>
      <c r="G21" s="576">
        <f t="shared" si="2"/>
        <v>0</v>
      </c>
    </row>
    <row r="22" spans="1:7" s="567" customFormat="1" ht="30" customHeight="1">
      <c r="A22" s="574" t="str">
        <f>"عبء دين الكفيل "&amp;التوصية!A292</f>
        <v>عبء دين الكفيل 0</v>
      </c>
      <c r="B22" s="579">
        <v>0.8</v>
      </c>
      <c r="C22" s="579" t="e">
        <f>التوصية!D292</f>
        <v>#DIV/0!</v>
      </c>
      <c r="D22" s="585">
        <f>IF(OR(التوصية!$B$49="",التوصية!$B$49="لا يوجد"),0,2)</f>
        <v>0</v>
      </c>
      <c r="E22" s="585"/>
      <c r="F22" s="586">
        <f t="shared" si="1"/>
        <v>0</v>
      </c>
      <c r="G22" s="576">
        <f t="shared" si="2"/>
        <v>0</v>
      </c>
    </row>
    <row r="23" spans="1:7" s="567" customFormat="1" ht="30" customHeight="1">
      <c r="A23" s="574" t="str">
        <f>"عبء دين الكفيل "&amp;التوصية!A293</f>
        <v>عبء دين الكفيل 0</v>
      </c>
      <c r="B23" s="579">
        <v>0.8</v>
      </c>
      <c r="C23" s="579" t="e">
        <f>التوصية!D293</f>
        <v>#DIV/0!</v>
      </c>
      <c r="D23" s="585">
        <f>IF(OR(التوصية!$C$79="",التوصية!$C$79="لا يوجد"),0,2)</f>
        <v>0</v>
      </c>
      <c r="E23" s="585"/>
      <c r="F23" s="586">
        <f t="shared" si="1"/>
        <v>0</v>
      </c>
      <c r="G23" s="576">
        <f t="shared" si="2"/>
        <v>0</v>
      </c>
    </row>
    <row r="24" spans="1:7" s="567" customFormat="1" ht="30" customHeight="1">
      <c r="A24" s="574" t="str">
        <f>"عبء دين الكفيل "&amp;التوصية!A294</f>
        <v>عبء دين الكفيل 0</v>
      </c>
      <c r="B24" s="579">
        <v>0.8</v>
      </c>
      <c r="C24" s="579" t="e">
        <f>التوصية!D294</f>
        <v>#DIV/0!</v>
      </c>
      <c r="D24" s="585">
        <f>IF(OR(التوصية!$C$109="",التوصية!$C$109="لا يوجد"),0,2)</f>
        <v>0</v>
      </c>
      <c r="E24" s="585"/>
      <c r="F24" s="586">
        <f t="shared" si="1"/>
        <v>0</v>
      </c>
      <c r="G24" s="576">
        <f t="shared" si="2"/>
        <v>0</v>
      </c>
    </row>
    <row r="25" spans="1:7" s="567" customFormat="1" ht="30" customHeight="1">
      <c r="A25" s="574" t="str">
        <f>"عبء دين الكفيل "&amp;التوصية!A295</f>
        <v>عبء دين الكفيل 0</v>
      </c>
      <c r="B25" s="579">
        <v>0.8</v>
      </c>
      <c r="C25" s="579" t="e">
        <f>التوصية!D295</f>
        <v>#DIV/0!</v>
      </c>
      <c r="D25" s="585">
        <f>IF(OR(التوصية!$C$139="",التوصية!$C$139="لا يوجد"),0,2)</f>
        <v>0</v>
      </c>
      <c r="E25" s="585"/>
      <c r="F25" s="586">
        <f t="shared" si="1"/>
        <v>0</v>
      </c>
      <c r="G25" s="576">
        <f t="shared" si="2"/>
        <v>0</v>
      </c>
    </row>
    <row r="26" spans="1:7" s="262" customFormat="1" ht="18.75" customHeight="1">
      <c r="A26" s="1500" t="s">
        <v>390</v>
      </c>
      <c r="B26" s="1501"/>
      <c r="C26" s="1501"/>
      <c r="D26" s="1501"/>
      <c r="E26" s="1501"/>
      <c r="F26" s="1501"/>
      <c r="G26" s="1502"/>
    </row>
    <row r="27" spans="1:7" s="262" customFormat="1" ht="18.75" customHeight="1">
      <c r="A27" s="571" t="s">
        <v>352</v>
      </c>
      <c r="B27" s="572" t="s">
        <v>413</v>
      </c>
      <c r="C27" s="572" t="s">
        <v>353</v>
      </c>
      <c r="D27" s="584" t="s">
        <v>374</v>
      </c>
      <c r="E27" s="584" t="s">
        <v>424</v>
      </c>
      <c r="F27" s="584" t="s">
        <v>373</v>
      </c>
      <c r="G27" s="573" t="s">
        <v>377</v>
      </c>
    </row>
    <row r="28" spans="1:7" s="262" customFormat="1" ht="30" customHeight="1">
      <c r="A28" s="574" t="s">
        <v>412</v>
      </c>
      <c r="B28" s="579" t="s">
        <v>414</v>
      </c>
      <c r="C28" s="575" t="str">
        <f>التوصية!B245</f>
        <v>نعم</v>
      </c>
      <c r="D28" s="585">
        <v>1</v>
      </c>
      <c r="E28" s="585"/>
      <c r="F28" s="586">
        <f>D28/$D$50</f>
        <v>1.4492753623188406E-2</v>
      </c>
      <c r="G28" s="576" t="e">
        <f>IF(D28=0,0,F28/(D28/E28))</f>
        <v>#DIV/0!</v>
      </c>
    </row>
    <row r="29" spans="1:7" s="567" customFormat="1" ht="30" customHeight="1">
      <c r="A29" s="574" t="s">
        <v>391</v>
      </c>
      <c r="B29" s="579" t="s">
        <v>392</v>
      </c>
      <c r="C29" s="575" t="str">
        <f>التوصية!B246</f>
        <v>محلي</v>
      </c>
      <c r="D29" s="585">
        <v>5</v>
      </c>
      <c r="E29" s="585"/>
      <c r="F29" s="586">
        <f>D29/$D$50</f>
        <v>7.2463768115942032E-2</v>
      </c>
      <c r="G29" s="576" t="e">
        <f>IF(D29=0,0,F29/(D29/E29))</f>
        <v>#DIV/0!</v>
      </c>
    </row>
    <row r="30" spans="1:7" s="567" customFormat="1" ht="30" customHeight="1">
      <c r="A30" s="574" t="s">
        <v>393</v>
      </c>
      <c r="B30" s="575" t="s">
        <v>112</v>
      </c>
      <c r="C30" s="575" t="str">
        <f>التوصية!D248</f>
        <v>متوفرة</v>
      </c>
      <c r="D30" s="585">
        <v>3</v>
      </c>
      <c r="E30" s="585"/>
      <c r="F30" s="586">
        <f>D30/$D$50</f>
        <v>4.3478260869565216E-2</v>
      </c>
      <c r="G30" s="576" t="e">
        <f>IF(D30=0,0,F30/(D30/E30))</f>
        <v>#DIV/0!</v>
      </c>
    </row>
    <row r="31" spans="1:7" s="567" customFormat="1" ht="30" customHeight="1">
      <c r="A31" s="574" t="s">
        <v>394</v>
      </c>
      <c r="B31" s="575" t="s">
        <v>112</v>
      </c>
      <c r="C31" s="575" t="str">
        <f>التوصية!B248</f>
        <v>محلية</v>
      </c>
      <c r="D31" s="585">
        <v>1</v>
      </c>
      <c r="E31" s="585"/>
      <c r="F31" s="586">
        <f>D31/$D$50</f>
        <v>1.4492753623188406E-2</v>
      </c>
      <c r="G31" s="576" t="e">
        <f>IF(D31=0,0,F31/(D31/E31))</f>
        <v>#DIV/0!</v>
      </c>
    </row>
    <row r="32" spans="1:7" s="567" customFormat="1" ht="30" customHeight="1">
      <c r="A32" s="574" t="s">
        <v>368</v>
      </c>
      <c r="B32" s="575" t="s">
        <v>110</v>
      </c>
      <c r="C32" s="575" t="str">
        <f>التوصية!D245</f>
        <v>لا</v>
      </c>
      <c r="D32" s="585">
        <v>1</v>
      </c>
      <c r="E32" s="585"/>
      <c r="F32" s="586">
        <f>D32/$D$50</f>
        <v>1.4492753623188406E-2</v>
      </c>
      <c r="G32" s="576" t="e">
        <f>IF(D32=0,0,F32/(D32/E32))</f>
        <v>#DIV/0!</v>
      </c>
    </row>
    <row r="33" spans="1:7" s="262" customFormat="1" ht="18.75" customHeight="1">
      <c r="A33" s="1500" t="s">
        <v>186</v>
      </c>
      <c r="B33" s="1501"/>
      <c r="C33" s="1501"/>
      <c r="D33" s="1501"/>
      <c r="E33" s="1501"/>
      <c r="F33" s="1501"/>
      <c r="G33" s="1502"/>
    </row>
    <row r="34" spans="1:7" s="262" customFormat="1" ht="18.75" customHeight="1">
      <c r="A34" s="571" t="s">
        <v>352</v>
      </c>
      <c r="B34" s="572" t="s">
        <v>413</v>
      </c>
      <c r="C34" s="572" t="s">
        <v>353</v>
      </c>
      <c r="D34" s="584" t="s">
        <v>374</v>
      </c>
      <c r="E34" s="584" t="s">
        <v>424</v>
      </c>
      <c r="F34" s="584" t="s">
        <v>373</v>
      </c>
      <c r="G34" s="573" t="s">
        <v>377</v>
      </c>
    </row>
    <row r="35" spans="1:7" s="567" customFormat="1" ht="30" customHeight="1">
      <c r="A35" s="574" t="s">
        <v>401</v>
      </c>
      <c r="B35" s="579" t="s">
        <v>423</v>
      </c>
      <c r="C35" s="575"/>
      <c r="D35" s="585">
        <v>3</v>
      </c>
      <c r="E35" s="585"/>
      <c r="F35" s="586">
        <f>D35/$D$50</f>
        <v>4.3478260869565216E-2</v>
      </c>
      <c r="G35" s="576" t="e">
        <f>IF(D35=0,0,F35/(D35/E35))</f>
        <v>#DIV/0!</v>
      </c>
    </row>
    <row r="36" spans="1:7" s="567" customFormat="1" ht="30" customHeight="1">
      <c r="A36" s="574" t="s">
        <v>361</v>
      </c>
      <c r="B36" s="579">
        <v>0.2</v>
      </c>
      <c r="C36" s="579">
        <f>التوصية!C253</f>
        <v>3030.3030303030305</v>
      </c>
      <c r="D36" s="585">
        <v>5</v>
      </c>
      <c r="E36" s="585"/>
      <c r="F36" s="586">
        <f>D36/$D$50</f>
        <v>7.2463768115942032E-2</v>
      </c>
      <c r="G36" s="576" t="e">
        <f>IF(D36=0,0,F36/(D36/E36))</f>
        <v>#DIV/0!</v>
      </c>
    </row>
    <row r="37" spans="1:7" s="567" customFormat="1" ht="30" customHeight="1">
      <c r="A37" s="574" t="s">
        <v>400</v>
      </c>
      <c r="B37" s="579"/>
      <c r="C37" s="575"/>
      <c r="D37" s="585">
        <v>2</v>
      </c>
      <c r="E37" s="585"/>
      <c r="F37" s="586">
        <f>D37/$D$50</f>
        <v>2.8985507246376812E-2</v>
      </c>
      <c r="G37" s="576" t="e">
        <f>IF(D37=0,0,F37/(D37/E37))</f>
        <v>#DIV/0!</v>
      </c>
    </row>
    <row r="38" spans="1:7" s="567" customFormat="1" ht="30" customHeight="1">
      <c r="A38" s="574" t="s">
        <v>399</v>
      </c>
      <c r="B38" s="575" t="s">
        <v>369</v>
      </c>
      <c r="C38" s="575"/>
      <c r="D38" s="585">
        <v>3</v>
      </c>
      <c r="E38" s="585"/>
      <c r="F38" s="586">
        <f>D38/$D$50</f>
        <v>4.3478260869565216E-2</v>
      </c>
      <c r="G38" s="576" t="e">
        <f>IF(D38=0,0,F38/(D38/E38))</f>
        <v>#DIV/0!</v>
      </c>
    </row>
    <row r="39" spans="1:7" s="262" customFormat="1" ht="18.75" customHeight="1">
      <c r="A39" s="1500" t="s">
        <v>388</v>
      </c>
      <c r="B39" s="1501"/>
      <c r="C39" s="1501"/>
      <c r="D39" s="1501"/>
      <c r="E39" s="1501"/>
      <c r="F39" s="1501"/>
      <c r="G39" s="1502"/>
    </row>
    <row r="40" spans="1:7" s="262" customFormat="1" ht="18.75" customHeight="1">
      <c r="A40" s="571" t="s">
        <v>352</v>
      </c>
      <c r="B40" s="572" t="s">
        <v>413</v>
      </c>
      <c r="C40" s="572" t="s">
        <v>353</v>
      </c>
      <c r="D40" s="584" t="s">
        <v>374</v>
      </c>
      <c r="E40" s="584" t="s">
        <v>424</v>
      </c>
      <c r="F40" s="584" t="s">
        <v>373</v>
      </c>
      <c r="G40" s="573" t="s">
        <v>377</v>
      </c>
    </row>
    <row r="41" spans="1:7" s="567" customFormat="1" ht="30" customHeight="1">
      <c r="A41" s="574" t="s">
        <v>384</v>
      </c>
      <c r="B41" s="575" t="s">
        <v>427</v>
      </c>
      <c r="C41" s="575" t="str">
        <f>التوصية!B279</f>
        <v>دولار</v>
      </c>
      <c r="D41" s="585">
        <v>1</v>
      </c>
      <c r="E41" s="585"/>
      <c r="F41" s="586">
        <f>D41/$D$50</f>
        <v>1.4492753623188406E-2</v>
      </c>
      <c r="G41" s="576" t="e">
        <f>IF(D41=0,0,F41/(D41/E41))</f>
        <v>#DIV/0!</v>
      </c>
    </row>
    <row r="42" spans="1:7" s="567" customFormat="1" ht="30" customHeight="1">
      <c r="A42" s="574" t="s">
        <v>428</v>
      </c>
      <c r="B42" s="575" t="s">
        <v>429</v>
      </c>
      <c r="C42" s="580">
        <f>التوصية!B286</f>
        <v>7.0000000000000007E-2</v>
      </c>
      <c r="D42" s="585">
        <v>3</v>
      </c>
      <c r="E42" s="585"/>
      <c r="F42" s="586">
        <f>D42/$D$50</f>
        <v>4.3478260869565216E-2</v>
      </c>
      <c r="G42" s="576" t="e">
        <f>IF(D42=0,0,F42/(D42/E42))</f>
        <v>#DIV/0!</v>
      </c>
    </row>
    <row r="43" spans="1:7" s="567" customFormat="1" ht="30" customHeight="1">
      <c r="A43" s="574" t="s">
        <v>367</v>
      </c>
      <c r="B43" s="575"/>
      <c r="C43" s="575">
        <f>التوصية!D283</f>
        <v>48</v>
      </c>
      <c r="D43" s="585">
        <v>3</v>
      </c>
      <c r="E43" s="585"/>
      <c r="F43" s="586">
        <f>D43/$D$50</f>
        <v>4.3478260869565216E-2</v>
      </c>
      <c r="G43" s="576" t="e">
        <f>IF(D43=0,0,F43/(D43/E43))</f>
        <v>#DIV/0!</v>
      </c>
    </row>
    <row r="44" spans="1:7" s="567" customFormat="1" ht="30" customHeight="1">
      <c r="A44" s="574" t="s">
        <v>389</v>
      </c>
      <c r="B44" s="575">
        <v>0</v>
      </c>
      <c r="C44" s="575">
        <f>التوصية!D281</f>
        <v>0</v>
      </c>
      <c r="D44" s="585">
        <v>1</v>
      </c>
      <c r="E44" s="585"/>
      <c r="F44" s="586">
        <f>D44/$D$50</f>
        <v>1.4492753623188406E-2</v>
      </c>
      <c r="G44" s="576" t="e">
        <f>IF(D44=0,0,F44/(D44/E44))</f>
        <v>#DIV/0!</v>
      </c>
    </row>
    <row r="45" spans="1:7" s="567" customFormat="1" ht="30" customHeight="1">
      <c r="A45" s="574" t="s">
        <v>360</v>
      </c>
      <c r="B45" s="575">
        <v>0</v>
      </c>
      <c r="C45" s="575">
        <f>التوصية!D282</f>
        <v>0</v>
      </c>
      <c r="D45" s="585">
        <v>1</v>
      </c>
      <c r="E45" s="585"/>
      <c r="F45" s="586">
        <f>D45/$D$50</f>
        <v>1.4492753623188406E-2</v>
      </c>
      <c r="G45" s="576" t="e">
        <f>IF(D45=0,0,F45/(D45/E45))</f>
        <v>#DIV/0!</v>
      </c>
    </row>
    <row r="46" spans="1:7" s="262" customFormat="1" ht="18.75" customHeight="1">
      <c r="A46" s="1500" t="s">
        <v>159</v>
      </c>
      <c r="B46" s="1501"/>
      <c r="C46" s="1501"/>
      <c r="D46" s="1501"/>
      <c r="E46" s="1501"/>
      <c r="F46" s="1501"/>
      <c r="G46" s="1502"/>
    </row>
    <row r="47" spans="1:7" s="262" customFormat="1" ht="18.75" customHeight="1">
      <c r="A47" s="571" t="s">
        <v>352</v>
      </c>
      <c r="B47" s="572" t="s">
        <v>413</v>
      </c>
      <c r="C47" s="572" t="s">
        <v>353</v>
      </c>
      <c r="D47" s="584" t="s">
        <v>374</v>
      </c>
      <c r="E47" s="584" t="s">
        <v>424</v>
      </c>
      <c r="F47" s="584" t="s">
        <v>373</v>
      </c>
      <c r="G47" s="573" t="s">
        <v>377</v>
      </c>
    </row>
    <row r="48" spans="1:7" s="567" customFormat="1" ht="30" customHeight="1">
      <c r="A48" s="574" t="s">
        <v>159</v>
      </c>
      <c r="B48" s="575" t="s">
        <v>370</v>
      </c>
      <c r="C48" s="575"/>
      <c r="D48" s="585">
        <v>5</v>
      </c>
      <c r="E48" s="585"/>
      <c r="F48" s="586">
        <f>D48/$D$50</f>
        <v>7.2463768115942032E-2</v>
      </c>
      <c r="G48" s="576" t="e">
        <f>IF(D48=0,0,F48/(D48/E48))</f>
        <v>#DIV/0!</v>
      </c>
    </row>
    <row r="49" spans="1:9" s="567" customFormat="1">
      <c r="A49" s="574"/>
      <c r="B49" s="575"/>
      <c r="C49" s="575"/>
      <c r="D49" s="585"/>
      <c r="E49" s="589"/>
      <c r="F49" s="586"/>
      <c r="G49" s="576"/>
    </row>
    <row r="50" spans="1:9" s="262" customFormat="1" ht="17.25" customHeight="1">
      <c r="A50" s="1494" t="s">
        <v>372</v>
      </c>
      <c r="B50" s="1495"/>
      <c r="C50" s="1495"/>
      <c r="D50" s="584">
        <f>SUM(D1:D49)</f>
        <v>69</v>
      </c>
      <c r="E50" s="590"/>
      <c r="F50" s="591">
        <f>D50/$D$50</f>
        <v>1</v>
      </c>
      <c r="G50" s="581" t="e">
        <f>SUM(G3:G49)</f>
        <v>#DIV/0!</v>
      </c>
      <c r="H50" s="569">
        <v>0.75</v>
      </c>
      <c r="I50" s="568">
        <v>1</v>
      </c>
    </row>
    <row r="51" spans="1:9" s="262" customFormat="1" ht="17.25" customHeight="1">
      <c r="A51" s="1496" t="s">
        <v>415</v>
      </c>
      <c r="B51" s="1497"/>
      <c r="C51" s="1497"/>
      <c r="D51" s="590"/>
      <c r="E51" s="590"/>
      <c r="F51" s="590"/>
      <c r="G51" s="582" t="s">
        <v>381</v>
      </c>
      <c r="H51" s="569">
        <v>0.6</v>
      </c>
      <c r="I51" s="568">
        <v>0.75</v>
      </c>
    </row>
    <row r="52" spans="1:9" s="262" customFormat="1" ht="17.25" customHeight="1">
      <c r="A52" s="1496" t="s">
        <v>378</v>
      </c>
      <c r="B52" s="1497"/>
      <c r="C52" s="1497"/>
      <c r="D52" s="590"/>
      <c r="E52" s="590"/>
      <c r="F52" s="590"/>
      <c r="G52" s="582" t="s">
        <v>380</v>
      </c>
      <c r="H52" s="569">
        <v>0</v>
      </c>
      <c r="I52" s="568">
        <v>0.6</v>
      </c>
    </row>
    <row r="53" spans="1:9" s="262" customFormat="1" ht="17.25" customHeight="1">
      <c r="A53" s="1496" t="s">
        <v>379</v>
      </c>
      <c r="B53" s="1497"/>
      <c r="C53" s="1497"/>
      <c r="D53" s="590"/>
      <c r="E53" s="590"/>
      <c r="F53" s="590"/>
      <c r="G53" s="583" t="s">
        <v>382</v>
      </c>
    </row>
    <row r="54" spans="1:9" s="262" customFormat="1" ht="18" customHeight="1" thickBot="1">
      <c r="A54" s="1498" t="s">
        <v>383</v>
      </c>
      <c r="B54" s="1499"/>
      <c r="C54" s="1499"/>
      <c r="D54" s="592"/>
      <c r="E54" s="593"/>
      <c r="F54" s="594"/>
      <c r="G54" s="588" t="e">
        <f>IF(G50&gt;=H50,A51,IF(AND(G50&lt;I51,G50&gt;=H51),A52,IF(G50&lt;I52,A53)))</f>
        <v>#DIV/0!</v>
      </c>
    </row>
  </sheetData>
  <mergeCells count="11">
    <mergeCell ref="A46:G46"/>
    <mergeCell ref="A1:G1"/>
    <mergeCell ref="A12:G12"/>
    <mergeCell ref="A26:G26"/>
    <mergeCell ref="A33:G33"/>
    <mergeCell ref="A39:G39"/>
    <mergeCell ref="A50:C50"/>
    <mergeCell ref="A51:C51"/>
    <mergeCell ref="A52:C52"/>
    <mergeCell ref="A53:C53"/>
    <mergeCell ref="A54:C54"/>
  </mergeCells>
  <conditionalFormatting sqref="G54">
    <cfRule type="expression" dxfId="63" priority="2179">
      <formula>$G$54=$A$53</formula>
    </cfRule>
    <cfRule type="expression" dxfId="62" priority="2180">
      <formula>$G$54=$A$52</formula>
    </cfRule>
    <cfRule type="expression" dxfId="61" priority="2181">
      <formula>$G$54=$A$51</formula>
    </cfRule>
  </conditionalFormatting>
  <pageMargins left="0.7" right="0.7" top="0.75" bottom="0.75" header="0.3" footer="0.3"/>
  <pageSetup paperSize="9" scale="78" fitToWidth="2" fitToHeight="2" orientation="portrait" r:id="rId1"/>
  <headerFooter>
    <oddHeader>&amp;L&amp;G&amp;C&amp;"-,Bold"&amp;18تحليل الائتمان&amp;R&amp;"-,Bold"&amp;10&amp;F
&amp;"-,Regular"&amp;D
 طلب اجارة رقم: ?/2018</oddHeader>
  </headerFooter>
  <legacyDrawingHF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1"/>
  <dimension ref="A1:AQ25"/>
  <sheetViews>
    <sheetView rightToLeft="1" topLeftCell="Y1" zoomScaleNormal="100" workbookViewId="0">
      <selection activeCell="Z4" sqref="Z4:AC4"/>
    </sheetView>
  </sheetViews>
  <sheetFormatPr defaultRowHeight="15"/>
  <cols>
    <col min="1" max="1" width="10.140625" bestFit="1" customWidth="1"/>
    <col min="2" max="2" width="6.28515625" bestFit="1" customWidth="1"/>
    <col min="3" max="3" width="9.85546875" bestFit="1" customWidth="1"/>
    <col min="4" max="4" width="13.140625" bestFit="1" customWidth="1"/>
    <col min="5" max="5" width="4.5703125" bestFit="1" customWidth="1"/>
    <col min="6" max="6" width="13.5703125" bestFit="1" customWidth="1"/>
    <col min="7" max="9" width="16.42578125" customWidth="1"/>
    <col min="10" max="10" width="17.42578125" bestFit="1" customWidth="1"/>
    <col min="11" max="12" width="16.42578125" customWidth="1"/>
    <col min="13" max="13" width="18.28515625" bestFit="1" customWidth="1"/>
    <col min="14" max="14" width="13.42578125" bestFit="1" customWidth="1"/>
    <col min="15" max="15" width="18.42578125" bestFit="1" customWidth="1"/>
    <col min="16" max="17" width="18.42578125" customWidth="1"/>
    <col min="18" max="18" width="23.5703125" bestFit="1" customWidth="1"/>
    <col min="19" max="21" width="18.42578125" customWidth="1"/>
    <col min="22" max="22" width="15.28515625" style="235" customWidth="1"/>
    <col min="23" max="23" width="18.7109375" style="235" bestFit="1" customWidth="1"/>
    <col min="24" max="24" width="25" style="235" bestFit="1" customWidth="1"/>
    <col min="25" max="25" width="25" style="235" customWidth="1"/>
    <col min="26" max="26" width="66.5703125" bestFit="1" customWidth="1"/>
    <col min="27" max="27" width="14.42578125" bestFit="1" customWidth="1"/>
    <col min="28" max="28" width="25.7109375" bestFit="1" customWidth="1"/>
    <col min="29" max="29" width="14.28515625" bestFit="1" customWidth="1"/>
    <col min="30" max="30" width="19.5703125" bestFit="1" customWidth="1"/>
    <col min="31" max="31" width="12.85546875" bestFit="1" customWidth="1"/>
    <col min="32" max="32" width="18.140625" bestFit="1" customWidth="1"/>
    <col min="34" max="34" width="16.7109375" bestFit="1" customWidth="1"/>
    <col min="41" max="41" width="15" bestFit="1" customWidth="1"/>
    <col min="42" max="42" width="14.7109375" customWidth="1"/>
    <col min="43" max="43" width="17.42578125" customWidth="1"/>
  </cols>
  <sheetData>
    <row r="1" spans="1:43">
      <c r="A1" s="238" t="s">
        <v>384</v>
      </c>
      <c r="B1" s="238" t="s">
        <v>121</v>
      </c>
      <c r="C1" s="238" t="s">
        <v>122</v>
      </c>
      <c r="D1" s="1506" t="s">
        <v>123</v>
      </c>
      <c r="E1" s="1507"/>
      <c r="F1" s="238" t="s">
        <v>124</v>
      </c>
      <c r="G1" s="238" t="s">
        <v>125</v>
      </c>
      <c r="H1" s="238" t="s">
        <v>136</v>
      </c>
      <c r="I1" s="238" t="s">
        <v>421</v>
      </c>
      <c r="J1" s="238" t="s">
        <v>521</v>
      </c>
      <c r="K1" s="238" t="s">
        <v>418</v>
      </c>
      <c r="L1" s="238" t="s">
        <v>545</v>
      </c>
      <c r="M1" s="238" t="s">
        <v>417</v>
      </c>
      <c r="N1" s="238" t="s">
        <v>126</v>
      </c>
      <c r="O1" s="238" t="s">
        <v>130</v>
      </c>
      <c r="P1" s="238" t="s">
        <v>569</v>
      </c>
      <c r="Q1" s="238" t="s">
        <v>567</v>
      </c>
      <c r="R1" s="238" t="s">
        <v>513</v>
      </c>
      <c r="S1" s="238" t="s">
        <v>500</v>
      </c>
      <c r="T1" s="238" t="s">
        <v>446</v>
      </c>
      <c r="U1" s="238" t="s">
        <v>534</v>
      </c>
      <c r="V1" s="238" t="s">
        <v>136</v>
      </c>
      <c r="W1" s="239" t="s">
        <v>136</v>
      </c>
      <c r="X1" s="67" t="s">
        <v>137</v>
      </c>
      <c r="Y1" s="67" t="s">
        <v>377</v>
      </c>
      <c r="Z1" s="1036" t="s">
        <v>108</v>
      </c>
      <c r="AA1" s="244" t="s">
        <v>200</v>
      </c>
      <c r="AB1" s="67" t="s">
        <v>1227</v>
      </c>
      <c r="AC1" s="67" t="s">
        <v>1232</v>
      </c>
      <c r="AD1" s="67" t="s">
        <v>1230</v>
      </c>
      <c r="AE1" s="67" t="s">
        <v>1231</v>
      </c>
      <c r="AF1" s="67" t="s">
        <v>213</v>
      </c>
      <c r="AG1" s="1508" t="s">
        <v>220</v>
      </c>
      <c r="AH1" s="245" t="s">
        <v>218</v>
      </c>
    </row>
    <row r="2" spans="1:43">
      <c r="A2" s="2" t="s">
        <v>425</v>
      </c>
      <c r="B2" s="2" t="s">
        <v>29</v>
      </c>
      <c r="C2" s="595">
        <v>1.1399999999999999</v>
      </c>
      <c r="D2" s="2" t="s">
        <v>118</v>
      </c>
      <c r="E2" s="7">
        <v>0.16</v>
      </c>
      <c r="F2" s="232" t="s">
        <v>116</v>
      </c>
      <c r="G2" s="232" t="s">
        <v>112</v>
      </c>
      <c r="H2" s="232" t="s">
        <v>134</v>
      </c>
      <c r="I2" s="232" t="s">
        <v>134</v>
      </c>
      <c r="J2" s="233" t="s">
        <v>553</v>
      </c>
      <c r="K2" s="223" t="s">
        <v>392</v>
      </c>
      <c r="L2" s="232" t="s">
        <v>53</v>
      </c>
      <c r="M2" s="224" t="s">
        <v>110</v>
      </c>
      <c r="N2" s="232" t="s">
        <v>127</v>
      </c>
      <c r="O2" s="241" t="s">
        <v>131</v>
      </c>
      <c r="P2" s="236" t="s">
        <v>570</v>
      </c>
      <c r="Q2" s="236" t="s">
        <v>566</v>
      </c>
      <c r="R2" s="610" t="s">
        <v>514</v>
      </c>
      <c r="S2" s="617" t="s">
        <v>502</v>
      </c>
      <c r="T2" s="599" t="s">
        <v>447</v>
      </c>
      <c r="U2" s="599" t="s">
        <v>538</v>
      </c>
      <c r="V2" s="597" t="s">
        <v>134</v>
      </c>
      <c r="W2" s="1517" t="s">
        <v>134</v>
      </c>
      <c r="X2" s="236" t="s">
        <v>1242</v>
      </c>
      <c r="Y2" s="236">
        <v>2</v>
      </c>
      <c r="Z2" s="1035" t="s">
        <v>138</v>
      </c>
      <c r="AA2" s="232" t="s">
        <v>201</v>
      </c>
      <c r="AB2" s="233" t="s">
        <v>1234</v>
      </c>
      <c r="AC2" s="233">
        <v>908119191</v>
      </c>
      <c r="AD2" s="233" t="s">
        <v>1235</v>
      </c>
      <c r="AE2" s="233">
        <v>910757905</v>
      </c>
      <c r="AF2" s="237" t="s">
        <v>518</v>
      </c>
      <c r="AG2" s="1509"/>
      <c r="AH2" s="246" t="s">
        <v>219</v>
      </c>
    </row>
    <row r="3" spans="1:43">
      <c r="A3" s="2" t="s">
        <v>426</v>
      </c>
      <c r="B3" s="2" t="s">
        <v>28</v>
      </c>
      <c r="C3" s="595">
        <v>1.4</v>
      </c>
      <c r="D3" s="2" t="s">
        <v>119</v>
      </c>
      <c r="E3" s="7">
        <v>0.17</v>
      </c>
      <c r="F3" s="233" t="s">
        <v>115</v>
      </c>
      <c r="G3" s="233" t="s">
        <v>113</v>
      </c>
      <c r="H3" s="234" t="s">
        <v>135</v>
      </c>
      <c r="I3" s="233" t="s">
        <v>422</v>
      </c>
      <c r="J3" s="233" t="s">
        <v>554</v>
      </c>
      <c r="K3" s="21" t="s">
        <v>419</v>
      </c>
      <c r="L3" s="233" t="s">
        <v>110</v>
      </c>
      <c r="M3" s="226" t="s">
        <v>111</v>
      </c>
      <c r="N3" s="233" t="s">
        <v>128</v>
      </c>
      <c r="O3" s="236" t="s">
        <v>132</v>
      </c>
      <c r="P3" s="236" t="s">
        <v>571</v>
      </c>
      <c r="Q3" s="236" t="s">
        <v>559</v>
      </c>
      <c r="R3" s="614" t="s">
        <v>544</v>
      </c>
      <c r="S3" s="236" t="s">
        <v>503</v>
      </c>
      <c r="T3" s="600" t="s">
        <v>448</v>
      </c>
      <c r="U3" s="600" t="s">
        <v>535</v>
      </c>
      <c r="V3" s="597" t="s">
        <v>109</v>
      </c>
      <c r="W3" s="1517"/>
      <c r="X3" s="236" t="s">
        <v>1243</v>
      </c>
      <c r="Y3" s="236">
        <v>1</v>
      </c>
      <c r="Z3" s="1035" t="s">
        <v>139</v>
      </c>
      <c r="AA3" s="233" t="s">
        <v>202</v>
      </c>
      <c r="AB3" s="233" t="s">
        <v>1233</v>
      </c>
      <c r="AC3" s="233">
        <v>850866534</v>
      </c>
      <c r="AD3" s="233" t="s">
        <v>1236</v>
      </c>
      <c r="AE3" s="233">
        <v>941330037</v>
      </c>
      <c r="AF3" s="233" t="s">
        <v>264</v>
      </c>
    </row>
    <row r="4" spans="1:43">
      <c r="A4" s="2" t="s">
        <v>1296</v>
      </c>
      <c r="B4" s="2" t="s">
        <v>4</v>
      </c>
      <c r="C4" s="595">
        <v>3.3</v>
      </c>
      <c r="D4" s="2" t="s">
        <v>120</v>
      </c>
      <c r="E4" s="7">
        <v>0</v>
      </c>
      <c r="F4" s="234" t="s">
        <v>117</v>
      </c>
      <c r="G4" s="234" t="s">
        <v>114</v>
      </c>
      <c r="H4" s="232"/>
      <c r="I4" s="234" t="s">
        <v>135</v>
      </c>
      <c r="J4" s="233" t="s">
        <v>555</v>
      </c>
      <c r="L4" s="234" t="s">
        <v>111</v>
      </c>
      <c r="N4" s="234" t="s">
        <v>129</v>
      </c>
      <c r="O4" s="237" t="s">
        <v>133</v>
      </c>
      <c r="P4" s="237" t="s">
        <v>572</v>
      </c>
      <c r="Q4" s="237" t="s">
        <v>558</v>
      </c>
      <c r="R4" s="237" t="s">
        <v>515</v>
      </c>
      <c r="S4" s="236" t="s">
        <v>629</v>
      </c>
      <c r="T4" s="600" t="s">
        <v>449</v>
      </c>
      <c r="U4" s="601" t="s">
        <v>536</v>
      </c>
      <c r="V4" s="598" t="s">
        <v>135</v>
      </c>
      <c r="W4" s="1517" t="s">
        <v>146</v>
      </c>
      <c r="X4" s="236" t="s">
        <v>1244</v>
      </c>
      <c r="Y4" s="236">
        <v>2</v>
      </c>
      <c r="Z4" s="1035" t="s">
        <v>140</v>
      </c>
      <c r="AA4" s="233" t="s">
        <v>203</v>
      </c>
      <c r="AB4" s="1263" t="s">
        <v>1712</v>
      </c>
      <c r="AC4">
        <v>401550819</v>
      </c>
      <c r="AD4" s="233"/>
      <c r="AE4" s="233"/>
      <c r="AF4" s="233" t="s">
        <v>265</v>
      </c>
    </row>
    <row r="5" spans="1:43">
      <c r="B5" s="2" t="s">
        <v>22</v>
      </c>
      <c r="C5" s="595">
        <v>1</v>
      </c>
      <c r="J5" s="233" t="s">
        <v>523</v>
      </c>
      <c r="R5" s="236"/>
      <c r="S5" s="236" t="s">
        <v>628</v>
      </c>
      <c r="T5" s="600" t="s">
        <v>450</v>
      </c>
      <c r="U5" s="611"/>
      <c r="W5" s="1517"/>
      <c r="X5" s="236" t="s">
        <v>1246</v>
      </c>
      <c r="Y5" s="236">
        <v>1</v>
      </c>
      <c r="Z5" s="1035" t="s">
        <v>141</v>
      </c>
      <c r="AA5" s="233" t="s">
        <v>204</v>
      </c>
      <c r="AB5" s="233" t="s">
        <v>1713</v>
      </c>
      <c r="AC5" s="233">
        <v>853743052</v>
      </c>
      <c r="AD5" s="233"/>
      <c r="AE5" s="233"/>
      <c r="AF5" s="233" t="s">
        <v>261</v>
      </c>
    </row>
    <row r="6" spans="1:43">
      <c r="J6" s="233" t="s">
        <v>524</v>
      </c>
      <c r="S6" s="237" t="s">
        <v>117</v>
      </c>
      <c r="T6" s="600" t="s">
        <v>451</v>
      </c>
      <c r="U6" s="612"/>
      <c r="W6" s="1517"/>
      <c r="X6" s="236" t="s">
        <v>1247</v>
      </c>
      <c r="Y6" s="236">
        <v>1</v>
      </c>
      <c r="Z6" s="1035" t="s">
        <v>142</v>
      </c>
      <c r="AA6" s="233" t="s">
        <v>1622</v>
      </c>
      <c r="AB6" s="233" t="s">
        <v>1714</v>
      </c>
      <c r="AC6" s="233">
        <v>854708104</v>
      </c>
      <c r="AD6" s="233"/>
      <c r="AE6" s="233"/>
      <c r="AF6" s="236" t="s">
        <v>262</v>
      </c>
    </row>
    <row r="7" spans="1:43" ht="15.75" thickBot="1">
      <c r="J7" s="233" t="s">
        <v>525</v>
      </c>
      <c r="T7" s="600" t="s">
        <v>452</v>
      </c>
      <c r="U7" s="612"/>
      <c r="W7" s="1517"/>
      <c r="X7" s="236" t="s">
        <v>1248</v>
      </c>
      <c r="Y7" s="236">
        <v>2</v>
      </c>
      <c r="Z7" s="1035" t="s">
        <v>143</v>
      </c>
      <c r="AA7" s="233"/>
      <c r="AB7" s="233"/>
      <c r="AC7" s="233"/>
      <c r="AD7" s="233"/>
      <c r="AE7" s="233"/>
      <c r="AF7" s="236" t="s">
        <v>260</v>
      </c>
      <c r="AO7" s="1200"/>
      <c r="AP7" s="1510"/>
      <c r="AQ7" s="1510"/>
    </row>
    <row r="8" spans="1:43" ht="18.75">
      <c r="J8" s="233" t="s">
        <v>527</v>
      </c>
      <c r="T8" s="600" t="s">
        <v>453</v>
      </c>
      <c r="U8" s="612"/>
      <c r="W8" s="1517" t="s">
        <v>135</v>
      </c>
      <c r="X8" s="236" t="s">
        <v>147</v>
      </c>
      <c r="Y8" s="236">
        <v>2</v>
      </c>
      <c r="Z8" s="1035" t="s">
        <v>144</v>
      </c>
      <c r="AA8" s="233"/>
      <c r="AB8" s="233"/>
      <c r="AC8" s="233"/>
      <c r="AD8" s="233"/>
      <c r="AE8" s="233"/>
      <c r="AF8" s="236" t="s">
        <v>263</v>
      </c>
      <c r="AO8" s="1201" t="s">
        <v>1633</v>
      </c>
      <c r="AP8" s="1511" t="s">
        <v>1634</v>
      </c>
      <c r="AQ8" s="1512"/>
    </row>
    <row r="9" spans="1:43">
      <c r="J9" s="233"/>
      <c r="T9" s="600"/>
      <c r="U9" s="612"/>
      <c r="W9" s="1517"/>
      <c r="X9" s="236"/>
      <c r="Y9" s="236"/>
      <c r="Z9" s="1035"/>
      <c r="AA9" s="233"/>
      <c r="AB9" s="233"/>
      <c r="AC9" s="233"/>
      <c r="AD9" s="233"/>
      <c r="AE9" s="233"/>
      <c r="AF9" s="236"/>
      <c r="AO9" s="1195" t="s">
        <v>1632</v>
      </c>
      <c r="AP9" s="1515">
        <v>250000</v>
      </c>
      <c r="AQ9" s="1516"/>
    </row>
    <row r="10" spans="1:43">
      <c r="J10" s="233" t="s">
        <v>522</v>
      </c>
      <c r="T10" s="600" t="s">
        <v>454</v>
      </c>
      <c r="U10" s="612"/>
      <c r="W10" s="1518"/>
      <c r="X10" s="236" t="s">
        <v>496</v>
      </c>
      <c r="Y10" s="236">
        <v>2</v>
      </c>
      <c r="Z10" s="1037" t="s">
        <v>145</v>
      </c>
      <c r="AA10" s="233"/>
      <c r="AB10" s="1186"/>
      <c r="AC10" s="233"/>
      <c r="AD10" s="233"/>
      <c r="AE10" s="233"/>
      <c r="AF10" s="236" t="s">
        <v>266</v>
      </c>
      <c r="AO10" s="1195" t="s">
        <v>1629</v>
      </c>
      <c r="AP10" s="1513">
        <v>0</v>
      </c>
      <c r="AQ10" s="1514"/>
    </row>
    <row r="11" spans="1:43">
      <c r="J11" s="233" t="s">
        <v>1299</v>
      </c>
      <c r="T11" s="600" t="s">
        <v>455</v>
      </c>
      <c r="U11" s="612"/>
      <c r="X11" s="236" t="s">
        <v>495</v>
      </c>
      <c r="Y11" s="1038">
        <v>2</v>
      </c>
      <c r="AA11" s="233"/>
      <c r="AB11" s="1186"/>
      <c r="AC11" s="1186"/>
      <c r="AD11" s="233"/>
      <c r="AE11" s="233"/>
      <c r="AF11" s="236" t="s">
        <v>267</v>
      </c>
      <c r="AO11" s="1195" t="s">
        <v>1630</v>
      </c>
      <c r="AP11" s="1194">
        <v>60</v>
      </c>
      <c r="AQ11" s="1196">
        <v>72</v>
      </c>
    </row>
    <row r="12" spans="1:43" ht="15.75" thickBot="1">
      <c r="J12" s="233" t="s">
        <v>528</v>
      </c>
      <c r="T12" s="600" t="s">
        <v>456</v>
      </c>
      <c r="U12" s="612"/>
      <c r="X12" s="236" t="s">
        <v>497</v>
      </c>
      <c r="Y12" s="236">
        <v>2</v>
      </c>
      <c r="Z12" s="1035"/>
      <c r="AA12" s="233"/>
      <c r="AB12" s="233"/>
      <c r="AC12" s="233"/>
      <c r="AD12" s="233"/>
      <c r="AE12" s="233"/>
      <c r="AF12" s="236" t="s">
        <v>270</v>
      </c>
      <c r="AO12" s="1197" t="s">
        <v>1631</v>
      </c>
      <c r="AP12" s="1198">
        <v>1625</v>
      </c>
      <c r="AQ12" s="1199">
        <v>1424</v>
      </c>
    </row>
    <row r="13" spans="1:43">
      <c r="J13" s="233" t="s">
        <v>529</v>
      </c>
      <c r="T13" s="601" t="s">
        <v>457</v>
      </c>
      <c r="U13" s="612"/>
      <c r="X13" s="236" t="s">
        <v>1249</v>
      </c>
      <c r="Y13" s="1038">
        <v>2</v>
      </c>
      <c r="AA13" s="233"/>
      <c r="AB13" s="234"/>
      <c r="AC13" s="234"/>
      <c r="AD13" s="233"/>
      <c r="AE13" s="233"/>
      <c r="AF13" s="236" t="s">
        <v>402</v>
      </c>
    </row>
    <row r="14" spans="1:43" ht="15.75" thickBot="1">
      <c r="J14" s="234" t="s">
        <v>526</v>
      </c>
      <c r="U14" s="612"/>
      <c r="X14" s="237" t="s">
        <v>1250</v>
      </c>
      <c r="Y14" s="1039">
        <v>2</v>
      </c>
      <c r="AA14" s="234"/>
      <c r="AB14" s="1186"/>
      <c r="AC14" s="1186"/>
      <c r="AD14" s="234"/>
      <c r="AE14" s="234"/>
      <c r="AF14" s="237" t="s">
        <v>268</v>
      </c>
      <c r="AO14" s="1200"/>
      <c r="AP14" s="1510"/>
      <c r="AQ14" s="1510"/>
    </row>
    <row r="15" spans="1:43" ht="18.75">
      <c r="X15" s="1035"/>
      <c r="Y15" s="1035"/>
      <c r="AO15" s="1201" t="s">
        <v>1633</v>
      </c>
      <c r="AP15" s="1511" t="s">
        <v>1635</v>
      </c>
      <c r="AQ15" s="1512"/>
    </row>
    <row r="16" spans="1:43">
      <c r="AO16" s="1195" t="s">
        <v>1632</v>
      </c>
      <c r="AP16" s="1515">
        <v>370000</v>
      </c>
      <c r="AQ16" s="1516"/>
    </row>
    <row r="17" spans="34:43">
      <c r="AH17" s="1202"/>
      <c r="AI17" s="1202"/>
      <c r="AJ17" s="1202"/>
      <c r="AK17" s="1202"/>
      <c r="AL17" s="1202"/>
      <c r="AM17" s="1202"/>
      <c r="AO17" s="1195" t="s">
        <v>1629</v>
      </c>
      <c r="AP17" s="1513">
        <v>0</v>
      </c>
      <c r="AQ17" s="1514"/>
    </row>
    <row r="18" spans="34:43" ht="18.75">
      <c r="AH18" s="1203"/>
      <c r="AI18" s="1521"/>
      <c r="AJ18" s="1521"/>
      <c r="AK18" s="1521"/>
      <c r="AL18" s="1521"/>
      <c r="AM18" s="1521"/>
      <c r="AO18" s="1195" t="s">
        <v>1630</v>
      </c>
      <c r="AP18" s="1194">
        <v>60</v>
      </c>
      <c r="AQ18" s="1196">
        <v>72</v>
      </c>
    </row>
    <row r="19" spans="34:43" ht="19.5" thickBot="1">
      <c r="AH19" s="1204"/>
      <c r="AI19" s="1205"/>
      <c r="AJ19" s="1206"/>
      <c r="AK19" s="1206"/>
      <c r="AL19" s="1206"/>
      <c r="AM19" s="1206"/>
      <c r="AO19" s="1197" t="s">
        <v>1631</v>
      </c>
      <c r="AP19" s="1198">
        <v>2403</v>
      </c>
      <c r="AQ19" s="1199">
        <v>2106</v>
      </c>
    </row>
    <row r="20" spans="34:43" ht="18.75">
      <c r="AH20" s="1204"/>
      <c r="AI20" s="1207"/>
      <c r="AJ20" s="1207"/>
      <c r="AK20" s="1207"/>
      <c r="AL20" s="1207"/>
      <c r="AM20" s="1207"/>
    </row>
    <row r="21" spans="34:43" ht="19.5" thickBot="1">
      <c r="AH21" s="1204"/>
      <c r="AI21" s="1208"/>
      <c r="AJ21" s="1208"/>
      <c r="AK21" s="1209"/>
      <c r="AL21" s="1209"/>
      <c r="AM21" s="1209"/>
      <c r="AO21" s="1200"/>
      <c r="AP21" s="1510"/>
      <c r="AQ21" s="1510"/>
    </row>
    <row r="22" spans="34:43" ht="18.75">
      <c r="AO22" s="1201" t="s">
        <v>1633</v>
      </c>
      <c r="AP22" s="1511" t="s">
        <v>1636</v>
      </c>
      <c r="AQ22" s="1512"/>
    </row>
    <row r="23" spans="34:43">
      <c r="AO23" s="1195" t="s">
        <v>1629</v>
      </c>
      <c r="AP23" s="1519" t="s">
        <v>1637</v>
      </c>
      <c r="AQ23" s="1520"/>
    </row>
    <row r="24" spans="34:43">
      <c r="AO24" s="1195" t="s">
        <v>1630</v>
      </c>
      <c r="AP24" s="1194">
        <v>48</v>
      </c>
      <c r="AQ24" s="1196">
        <v>60</v>
      </c>
    </row>
    <row r="25" spans="34:43" ht="15.75" thickBot="1">
      <c r="AO25" s="1197" t="s">
        <v>1631</v>
      </c>
      <c r="AP25" s="1198">
        <v>23478</v>
      </c>
      <c r="AQ25" s="1199">
        <v>19809</v>
      </c>
    </row>
  </sheetData>
  <mergeCells count="17">
    <mergeCell ref="AP23:AQ23"/>
    <mergeCell ref="AP22:AQ22"/>
    <mergeCell ref="AI18:AM18"/>
    <mergeCell ref="AP14:AQ14"/>
    <mergeCell ref="AP15:AQ15"/>
    <mergeCell ref="AP16:AQ16"/>
    <mergeCell ref="AP17:AQ17"/>
    <mergeCell ref="AP21:AQ21"/>
    <mergeCell ref="D1:E1"/>
    <mergeCell ref="AG1:AG2"/>
    <mergeCell ref="AP7:AQ7"/>
    <mergeCell ref="AP8:AQ8"/>
    <mergeCell ref="AP10:AQ10"/>
    <mergeCell ref="AP9:AQ9"/>
    <mergeCell ref="W2:W3"/>
    <mergeCell ref="W4:W7"/>
    <mergeCell ref="W8:W10"/>
  </mergeCells>
  <conditionalFormatting sqref="S2 R3">
    <cfRule type="cellIs" dxfId="60" priority="2" operator="equal">
      <formula>""</formula>
    </cfRule>
  </conditionalFormatting>
  <conditionalFormatting sqref="R2">
    <cfRule type="cellIs" dxfId="59" priority="1" operator="equal">
      <formula>""</formula>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9">
    <tabColor rgb="FFFFFF00"/>
  </sheetPr>
  <dimension ref="A1:M25"/>
  <sheetViews>
    <sheetView showGridLines="0" rightToLeft="1" topLeftCell="A5" zoomScale="112" zoomScaleNormal="112" workbookViewId="0">
      <selection activeCell="G17" sqref="G17:H18"/>
    </sheetView>
  </sheetViews>
  <sheetFormatPr defaultColWidth="9.140625" defaultRowHeight="12.75"/>
  <cols>
    <col min="1" max="1" width="17.5703125" style="634" bestFit="1" customWidth="1"/>
    <col min="2" max="2" width="23.140625" style="634" bestFit="1" customWidth="1"/>
    <col min="3" max="3" width="14.140625" style="634" bestFit="1" customWidth="1"/>
    <col min="4" max="4" width="10.140625" style="634" bestFit="1" customWidth="1"/>
    <col min="5" max="5" width="19.140625" style="634" bestFit="1" customWidth="1"/>
    <col min="6" max="6" width="17.5703125" style="634" bestFit="1" customWidth="1"/>
    <col min="7" max="7" width="11.5703125" style="634" bestFit="1" customWidth="1"/>
    <col min="8" max="8" width="11.42578125" style="634" bestFit="1" customWidth="1"/>
    <col min="9" max="9" width="14.140625" style="634" bestFit="1" customWidth="1"/>
    <col min="10" max="10" width="33.28515625" style="634" customWidth="1"/>
    <col min="11" max="11" width="14" style="634" bestFit="1" customWidth="1"/>
    <col min="12" max="12" width="11.140625" style="634" bestFit="1" customWidth="1"/>
    <col min="13" max="16384" width="9.140625" style="634"/>
  </cols>
  <sheetData>
    <row r="1" spans="1:13">
      <c r="A1" s="1524" t="s">
        <v>584</v>
      </c>
      <c r="B1" s="1525"/>
      <c r="C1" s="1525"/>
      <c r="D1" s="1525"/>
      <c r="E1" s="1525"/>
      <c r="F1" s="1525"/>
      <c r="G1" s="1525"/>
      <c r="H1" s="1525"/>
      <c r="I1" s="1525"/>
      <c r="J1" s="1525"/>
      <c r="K1" s="1525"/>
      <c r="L1" s="1526"/>
    </row>
    <row r="2" spans="1:13" ht="13.5" thickBot="1">
      <c r="A2" s="772" t="s">
        <v>949</v>
      </c>
      <c r="B2" s="767">
        <f>التوصية!B2</f>
        <v>0</v>
      </c>
      <c r="C2" s="894" t="s">
        <v>947</v>
      </c>
      <c r="D2" s="767">
        <f>التوصية!B7</f>
        <v>0</v>
      </c>
      <c r="E2" s="894" t="s">
        <v>956</v>
      </c>
      <c r="F2" s="760"/>
      <c r="G2" s="894" t="s">
        <v>955</v>
      </c>
      <c r="H2" s="762"/>
      <c r="I2" s="894" t="s">
        <v>953</v>
      </c>
      <c r="J2" s="767" t="str">
        <f>التوصية!B10&amp;" - "&amp;التوصية!D10&amp;" - "&amp;التوصية!B11&amp;" - "&amp;التوصية!D11</f>
        <v xml:space="preserve"> -  -  - </v>
      </c>
      <c r="K2" s="894" t="s">
        <v>951</v>
      </c>
      <c r="L2" s="899">
        <f>التوصية!B12</f>
        <v>0</v>
      </c>
    </row>
    <row r="3" spans="1:13">
      <c r="A3" s="1524" t="s">
        <v>585</v>
      </c>
      <c r="B3" s="1525"/>
      <c r="C3" s="1525"/>
      <c r="D3" s="1525"/>
      <c r="E3" s="1525"/>
      <c r="F3" s="1525"/>
      <c r="G3" s="1525"/>
      <c r="H3" s="1525"/>
      <c r="I3" s="1525"/>
      <c r="J3" s="1525"/>
      <c r="K3" s="1525"/>
      <c r="L3" s="1526"/>
    </row>
    <row r="4" spans="1:13">
      <c r="A4" s="770" t="s">
        <v>949</v>
      </c>
      <c r="B4" s="760" t="str">
        <f>IF(التوصية!B49="","لا يوجد",التوصية!B49)</f>
        <v>لا يوجد</v>
      </c>
      <c r="C4" s="761" t="s">
        <v>947</v>
      </c>
      <c r="D4" s="983" t="str">
        <f>IF(التوصية!D50="","لا يوجد",التوصية!D50)</f>
        <v>لا يوجد</v>
      </c>
      <c r="E4" s="761" t="s">
        <v>956</v>
      </c>
      <c r="F4" s="760"/>
      <c r="G4" s="761" t="s">
        <v>955</v>
      </c>
      <c r="H4" s="762"/>
      <c r="I4" s="761" t="s">
        <v>953</v>
      </c>
      <c r="J4" s="760" t="str">
        <f>IF(التوصية!B51="","لا يوجد",التوصية!B51)</f>
        <v>لا يوجد</v>
      </c>
      <c r="K4" s="761" t="s">
        <v>952</v>
      </c>
      <c r="L4" s="896" t="str">
        <f>IF(التوصية!D51=""," لا يوجد",التوصية!D51)</f>
        <v xml:space="preserve"> لا يوجد</v>
      </c>
    </row>
    <row r="5" spans="1:13">
      <c r="A5" s="770" t="s">
        <v>949</v>
      </c>
      <c r="B5" s="760" t="str">
        <f>IF(التوصية!B79="","لا يوجد",التوصية!B79)</f>
        <v>لا يوجد</v>
      </c>
      <c r="C5" s="761" t="s">
        <v>947</v>
      </c>
      <c r="D5" s="983" t="str">
        <f>IF(التوصية!D80="","لا يوجد",التوصية!D80)</f>
        <v>لا يوجد</v>
      </c>
      <c r="E5" s="761" t="s">
        <v>956</v>
      </c>
      <c r="F5" s="760"/>
      <c r="G5" s="761" t="s">
        <v>955</v>
      </c>
      <c r="H5" s="762"/>
      <c r="I5" s="761" t="s">
        <v>953</v>
      </c>
      <c r="J5" s="760" t="str">
        <f>IF(التوصية!B81="","لا يوجد",التوصية!B81)</f>
        <v>لا يوجد</v>
      </c>
      <c r="K5" s="761" t="s">
        <v>952</v>
      </c>
      <c r="L5" s="896" t="str">
        <f>IF(التوصية!D81=""," لا يوجد",التوصية!D81)</f>
        <v xml:space="preserve"> لا يوجد</v>
      </c>
    </row>
    <row r="6" spans="1:13">
      <c r="A6" s="770" t="s">
        <v>949</v>
      </c>
      <c r="B6" s="760" t="str">
        <f>IF(التوصية!B109="","لا يوجد",التوصية!B109)</f>
        <v>لا يوجد</v>
      </c>
      <c r="C6" s="761" t="s">
        <v>947</v>
      </c>
      <c r="D6" s="983" t="str">
        <f>IF(التوصية!D110="","لا يوجد",التوصية!D110)</f>
        <v>لا يوجد</v>
      </c>
      <c r="E6" s="761" t="s">
        <v>956</v>
      </c>
      <c r="F6" s="760"/>
      <c r="G6" s="761" t="s">
        <v>955</v>
      </c>
      <c r="H6" s="762"/>
      <c r="I6" s="761" t="s">
        <v>953</v>
      </c>
      <c r="J6" s="760" t="str">
        <f>IF(التوصية!B111="","لا يوجد",التوصية!B111)</f>
        <v>لا يوجد</v>
      </c>
      <c r="K6" s="761" t="s">
        <v>952</v>
      </c>
      <c r="L6" s="896" t="str">
        <f>IF(التوصية!D111=""," لا يوجد",التوصية!D111)</f>
        <v xml:space="preserve"> لا يوجد</v>
      </c>
    </row>
    <row r="7" spans="1:13" ht="13.5" thickBot="1">
      <c r="A7" s="772" t="s">
        <v>949</v>
      </c>
      <c r="B7" s="767" t="str">
        <f>IF(التوصية!B139="","لا يوجد",التوصية!B139)</f>
        <v>لا يوجد</v>
      </c>
      <c r="C7" s="894" t="s">
        <v>947</v>
      </c>
      <c r="D7" s="984" t="str">
        <f>IF(التوصية!D140="","لا يوجد",التوصية!D140)</f>
        <v>لا يوجد</v>
      </c>
      <c r="E7" s="894" t="s">
        <v>956</v>
      </c>
      <c r="F7" s="760"/>
      <c r="G7" s="894" t="s">
        <v>955</v>
      </c>
      <c r="H7" s="762"/>
      <c r="I7" s="894" t="s">
        <v>953</v>
      </c>
      <c r="J7" s="767" t="str">
        <f>IF(التوصية!B141="","لا يوجد",التوصية!B141)</f>
        <v>لا يوجد</v>
      </c>
      <c r="K7" s="894" t="s">
        <v>952</v>
      </c>
      <c r="L7" s="899" t="str">
        <f>IF(التوصية!D141=""," لا يوجد",التوصية!D141)</f>
        <v xml:space="preserve"> لا يوجد</v>
      </c>
    </row>
    <row r="8" spans="1:13">
      <c r="A8" s="1524" t="s">
        <v>590</v>
      </c>
      <c r="B8" s="1525"/>
      <c r="C8" s="1525"/>
      <c r="D8" s="1525"/>
      <c r="E8" s="1525"/>
      <c r="F8" s="1525"/>
      <c r="G8" s="1525"/>
      <c r="H8" s="1525"/>
      <c r="I8" s="1525"/>
      <c r="J8" s="1525"/>
      <c r="K8" s="1525"/>
      <c r="L8" s="1526"/>
    </row>
    <row r="9" spans="1:13">
      <c r="A9" s="770" t="s">
        <v>591</v>
      </c>
      <c r="B9" s="760">
        <f>التوصية!B243</f>
        <v>0</v>
      </c>
      <c r="C9" s="761" t="s">
        <v>947</v>
      </c>
      <c r="D9" s="760">
        <f>التوصية!D243</f>
        <v>0</v>
      </c>
      <c r="E9" s="761" t="s">
        <v>956</v>
      </c>
      <c r="F9" s="760"/>
      <c r="G9" s="761" t="s">
        <v>955</v>
      </c>
      <c r="H9" s="762"/>
      <c r="I9" s="761" t="s">
        <v>953</v>
      </c>
      <c r="J9" s="760" t="str">
        <f>التوصية!D246</f>
        <v>رام الله</v>
      </c>
      <c r="K9" s="761" t="s">
        <v>952</v>
      </c>
      <c r="L9" s="896">
        <f>التوصية!D247</f>
        <v>0</v>
      </c>
    </row>
    <row r="10" spans="1:13" ht="13.5" thickBot="1">
      <c r="A10" s="1528" t="str">
        <f>"السعر غير شامل ضريبة القيمة المضافة "&amp;"بال"&amp;IF(FC=USD,USD,IF(FC=ILS,ILS,IF(FC=EUR,EUR)))</f>
        <v>السعر غير شامل ضريبة القيمة المضافة بالدولار</v>
      </c>
      <c r="B10" s="1527"/>
      <c r="C10" s="897">
        <f>IF(التوصية!$B$248='بيانات للادخال'!$F$2,F10/(1+PNAVAT),IF(التوصية!$B$248='بيانات للادخال'!$F$3,F10/1.17,IF(التوصية!$B$248='بيانات للادخال'!$F$4,"لا ينطبق حيث لا يوجد فاتورة ضريبية")))</f>
        <v>0</v>
      </c>
      <c r="D10" s="1527" t="str">
        <f>"السعر شامل ضريبة القيمة المضافة "&amp;"بال"&amp;IF(FC=USD,USD,IF(FC=ILS,ILS,IF(FC=EUR,EUR)))</f>
        <v>السعر شامل ضريبة القيمة المضافة بالدولار</v>
      </c>
      <c r="E10" s="1527"/>
      <c r="F10" s="897">
        <f>التوصية!$D$249</f>
        <v>0</v>
      </c>
      <c r="G10" s="873" t="s">
        <v>608</v>
      </c>
      <c r="H10" s="898">
        <f>IF(التوصية!$D$249-التوصية!$D$258&lt;0,0,التوصية!$D$249-التوصية!$D$258)</f>
        <v>0</v>
      </c>
      <c r="I10" s="873" t="s">
        <v>609</v>
      </c>
      <c r="J10" s="898">
        <f>F10-H10</f>
        <v>0</v>
      </c>
      <c r="K10" s="767"/>
      <c r="L10" s="768"/>
    </row>
    <row r="11" spans="1:13">
      <c r="A11" s="1524" t="s">
        <v>586</v>
      </c>
      <c r="B11" s="1525"/>
      <c r="C11" s="1525"/>
      <c r="D11" s="1526"/>
      <c r="E11" s="1524" t="s">
        <v>587</v>
      </c>
      <c r="F11" s="1525"/>
      <c r="G11" s="1525"/>
      <c r="H11" s="1525"/>
      <c r="I11" s="1525"/>
      <c r="J11" s="1525"/>
      <c r="K11" s="1525"/>
      <c r="L11" s="1526"/>
    </row>
    <row r="12" spans="1:13" ht="13.5" thickBot="1">
      <c r="A12" s="772" t="s">
        <v>950</v>
      </c>
      <c r="B12" s="893" t="str">
        <f>التوصية!$B$1</f>
        <v>A ? - 1 - 1900</v>
      </c>
      <c r="C12" s="894" t="s">
        <v>948</v>
      </c>
      <c r="D12" s="895">
        <f>التوصية!D1</f>
        <v>0</v>
      </c>
      <c r="E12" s="890" t="s">
        <v>957</v>
      </c>
      <c r="F12" s="767" t="str">
        <f>IF(التوصية!A263&lt;&gt;0,التوصية!A263,"")&amp;IF(التوصية!A264&lt;&gt;0," و "&amp;التوصية!A264,"")&amp;IF(التوصية!A265&lt;&gt;0," و "&amp;التوصية!A265,"")&amp;IF(التوصية!A266&lt;&gt;0," و "&amp;التوصية!A266,"")&amp;IF(التوصية!A267&lt;&gt;0," و "&amp;التوصية!A267,"")</f>
        <v/>
      </c>
      <c r="G12" s="891" t="s">
        <v>919</v>
      </c>
      <c r="H12" s="892">
        <f>ROUND(IF(التوصية!C263&lt;&gt;"",التوصية!C263,"")&amp;IF(التوصية!C264&lt;&gt;""," و "&amp;التوصية!C264,"")&amp;IF(التوصية!C265&lt;&gt;""," و "&amp;التوصية!C265,"")&amp;IF(التوصية!C266&lt;&gt;""," و "&amp;التوصية!C266,"")&amp;IF(التوصية!C267&lt;&gt;""," و "&amp;التوصية!C267,""),0)</f>
        <v>2015</v>
      </c>
      <c r="I12" s="891" t="s">
        <v>954</v>
      </c>
      <c r="J12" s="767" t="str">
        <f>IF(التوصية!B263&lt;&gt;"",التوصية!B263,"")&amp;IF(التوصية!B264&lt;&gt;""," و "&amp;التوصية!B264,"")&amp;IF(التوصية!B265&lt;&gt;""," و "&amp;التوصية!B265,"")&amp;IF(التوصية!B266&lt;&gt;""," و "&amp;التوصية!B266,"")&amp;IF(التوصية!B267&lt;&gt;""," و "&amp;التوصية!B267,"")</f>
        <v/>
      </c>
      <c r="K12" s="891" t="s">
        <v>958</v>
      </c>
      <c r="L12" s="768" t="str">
        <f>IF(التوصية!D263&lt;&gt;"",التوصية!D263,"")&amp;IF(التوصية!D264&lt;&gt;""," و "&amp;التوصية!D264,"")&amp;IF(التوصية!D265&lt;&gt;""," و "&amp;التوصية!D265,"")&amp;IF(التوصية!D266&lt;&gt;""," و "&amp;التوصية!D266,"")&amp;IF(التوصية!D267&lt;&gt;""," و "&amp;التوصية!D267,"")</f>
        <v/>
      </c>
    </row>
    <row r="13" spans="1:13">
      <c r="A13" s="1524" t="s">
        <v>592</v>
      </c>
      <c r="B13" s="1525"/>
      <c r="C13" s="1525"/>
      <c r="D13" s="1525"/>
      <c r="E13" s="1530"/>
      <c r="F13" s="1524" t="s">
        <v>1225</v>
      </c>
      <c r="G13" s="1525"/>
      <c r="H13" s="1526"/>
      <c r="I13" s="1529" t="s">
        <v>605</v>
      </c>
      <c r="J13" s="1530"/>
    </row>
    <row r="14" spans="1:13">
      <c r="A14" s="770" t="s">
        <v>593</v>
      </c>
      <c r="B14" s="763" t="str">
        <f>التوصية!D280&amp;" شهر"</f>
        <v>48 شهر</v>
      </c>
      <c r="C14" s="761" t="s">
        <v>618</v>
      </c>
      <c r="D14" s="760" t="s">
        <v>630</v>
      </c>
      <c r="E14" s="766"/>
      <c r="F14" s="874" t="s">
        <v>1230</v>
      </c>
      <c r="G14" s="1522"/>
      <c r="H14" s="1523"/>
      <c r="I14" s="769" t="s">
        <v>619</v>
      </c>
      <c r="J14" s="876"/>
    </row>
    <row r="15" spans="1:13">
      <c r="A15" s="770" t="s">
        <v>594</v>
      </c>
      <c r="B15" s="763" t="str">
        <f>التوصية!D283&amp;" شهر"</f>
        <v>48 شهر</v>
      </c>
      <c r="C15" s="761" t="s">
        <v>596</v>
      </c>
      <c r="D15" s="764">
        <f>J15</f>
        <v>0</v>
      </c>
      <c r="E15" s="771"/>
      <c r="F15" s="874" t="s">
        <v>1229</v>
      </c>
      <c r="G15" s="1522" t="b">
        <f>IF($G$14='بيانات للادخال'!$AD$2,'بيانات للادخال'!$AE$2,IF($G$14='بيانات للادخال'!$AD$3,'بيانات للادخال'!$AE$3))</f>
        <v>0</v>
      </c>
      <c r="H15" s="1523"/>
      <c r="I15" s="769" t="s">
        <v>606</v>
      </c>
      <c r="J15" s="974"/>
      <c r="M15" s="759" t="str">
        <f>TEXT(التوصية!D284,"0,0")&amp;" "&amp;IF(التوصية!$B$279='بيانات للادخال'!$A$2,'بيانات للادخال'!$A$2,IF(التوصية!$B$279='بيانات للادخال'!$A$3,'بيانات للادخال'!$A$3))</f>
        <v>199 دولار</v>
      </c>
    </row>
    <row r="16" spans="1:13" ht="13.5" thickBot="1">
      <c r="A16" s="770" t="s">
        <v>595</v>
      </c>
      <c r="B16" s="765" t="str">
        <f>TEXT('جدول السداد'!O35,"0,0")&amp;" "&amp;IF(FC=USD,USD,IF(FC=ILS,ILS,IF(FC=EUR,EUR)))</f>
        <v>9,600 دولار</v>
      </c>
      <c r="C16" s="761" t="s">
        <v>597</v>
      </c>
      <c r="D16" s="764" t="str">
        <f>VLOOKUP(التوصية!$D$282,'جدول السداد'!$R$4:$S$62,2,FALSE)</f>
        <v>/5/2021</v>
      </c>
      <c r="E16" s="766"/>
      <c r="F16" s="874" t="s">
        <v>1226</v>
      </c>
      <c r="G16" s="1522" t="s">
        <v>1622</v>
      </c>
      <c r="H16" s="1523"/>
      <c r="I16" s="885" t="s">
        <v>607</v>
      </c>
      <c r="J16" s="989">
        <f>J15</f>
        <v>0</v>
      </c>
    </row>
    <row r="17" spans="1:12">
      <c r="A17" s="770" t="s">
        <v>599</v>
      </c>
      <c r="B17" s="765" t="str">
        <f>TEXT(التوصية!D249-التوصية!D258,"0,0")&amp;" "&amp;IF(FC=USD,USD,IF(FC=ILS,ILS,IF(FC=EUR,EUR)))</f>
        <v>-7,343 دولار</v>
      </c>
      <c r="C17" s="761" t="s">
        <v>598</v>
      </c>
      <c r="D17" s="764" t="str">
        <f>VLOOKUP(التوصية!$D$280-1,'جدول السداد'!$R$4:$S$64,2,FALSE)</f>
        <v>0/4/2025</v>
      </c>
      <c r="E17" s="766"/>
      <c r="F17" s="874" t="s">
        <v>1227</v>
      </c>
      <c r="G17" s="1522" t="str">
        <f>IF($G$16='بيانات للادخال'!$AA$2,'بيانات للادخال'!AB$2,IF($G$16='بيانات للادخال'!$AA$3,'بيانات للادخال'!AB$3,IF($G$16='بيانات للادخال'!$AA$4,'بيانات للادخال'!AB$4,IF($G$16='بيانات للادخال'!$AA$6,'بيانات للادخال'!AB$6,IF($G$16='بيانات للادخال'!$AA$5,'بيانات للادخال'!AB$5,IF($G$16='بيانات للادخال'!$AA$8,'بيانات للادخال'!AB$8,IF($G$16='بيانات للادخال'!$AA$10,'بيانات للادخال'!AB$10,IF($G$16='بيانات للادخال'!$AA$11,'بيانات للادخال'!AB$11,IF($G$16='بيانات للادخال'!$AA$12,'بيانات للادخال'!AB$12,IF($G$16='بيانات للادخال'!$AA$14,'بيانات للادخال'!AB$14,'بيانات للادخال'!$AB$6))))))))))</f>
        <v>محمد صبحي عبد الكريم عيسى</v>
      </c>
      <c r="H17" s="1523"/>
    </row>
    <row r="18" spans="1:12" ht="13.5" thickBot="1">
      <c r="A18" s="772" t="s">
        <v>600</v>
      </c>
      <c r="B18" s="767"/>
      <c r="C18" s="767"/>
      <c r="D18" s="767"/>
      <c r="E18" s="768"/>
      <c r="F18" s="875" t="s">
        <v>1228</v>
      </c>
      <c r="G18" s="1531">
        <f>IF($G$16='بيانات للادخال'!$AA$2,'بيانات للادخال'!AC$2,IF($G$16='بيانات للادخال'!$AA$3,'بيانات للادخال'!AC$3,IF($G$16='بيانات للادخال'!$AA$4,'بيانات للادخال'!AC$4,IF($G$16='بيانات للادخال'!$AA$6,'بيانات للادخال'!AC$6,IF($G$16='بيانات للادخال'!$AA$5,'بيانات للادخال'!AC$5,IF($G$16='بيانات للادخال'!$AA$8,'بيانات للادخال'!AC$8,IF($G$16='بيانات للادخال'!$AA$10,'بيانات للادخال'!AC$10,IF($G$16='بيانات للادخال'!$AA$11,'بيانات للادخال'!AC$11,IF($G$16='بيانات للادخال'!$AA$12,'بيانات للادخال'!AC$12,IF($G$16='بيانات للادخال'!$AA$14,'بيانات للادخال'!AC$14,'بيانات للادخال'!$AC$6))))))))))</f>
        <v>854708104</v>
      </c>
      <c r="H18" s="1532"/>
    </row>
    <row r="19" spans="1:12">
      <c r="A19" s="1524" t="s">
        <v>1295</v>
      </c>
      <c r="B19" s="1525"/>
      <c r="C19" s="1525"/>
      <c r="D19" s="1525"/>
      <c r="E19" s="1525"/>
      <c r="F19" s="1525"/>
      <c r="G19" s="1525"/>
      <c r="H19" s="1526"/>
      <c r="I19" s="1524" t="s">
        <v>601</v>
      </c>
      <c r="J19" s="1525"/>
      <c r="K19" s="1525"/>
      <c r="L19" s="1526"/>
    </row>
    <row r="20" spans="1:12">
      <c r="A20" s="935" t="s">
        <v>959</v>
      </c>
      <c r="B20" s="1522"/>
      <c r="C20" s="1522"/>
      <c r="D20" s="1522"/>
      <c r="E20" s="1522"/>
      <c r="F20" s="1522"/>
      <c r="G20" s="1522"/>
      <c r="H20" s="1523"/>
      <c r="I20" s="1533" t="s">
        <v>602</v>
      </c>
      <c r="J20" s="1534"/>
      <c r="K20" s="1522" t="s">
        <v>603</v>
      </c>
      <c r="L20" s="1523"/>
    </row>
    <row r="21" spans="1:12" ht="13.5" thickBot="1">
      <c r="A21" s="935" t="s">
        <v>610</v>
      </c>
      <c r="B21" s="760" t="str">
        <f>IF($B$20='بيانات للادخال'!$H2,B$2,"")</f>
        <v/>
      </c>
      <c r="C21" s="936" t="s">
        <v>611</v>
      </c>
      <c r="D21" s="760" t="str">
        <f>IF($B$20='بيانات للادخال'!$H2,D$2,"")</f>
        <v/>
      </c>
      <c r="E21" s="936" t="s">
        <v>612</v>
      </c>
      <c r="F21" s="762" t="str">
        <f>IF($B$20='بيانات للادخال'!$H2,التوصية!$B$8,"")</f>
        <v/>
      </c>
      <c r="G21" s="936" t="s">
        <v>613</v>
      </c>
      <c r="H21" s="766" t="str">
        <f>IF($B$20='بيانات للادخال'!$H2,$L$2,"")</f>
        <v/>
      </c>
      <c r="I21" s="1528" t="s">
        <v>604</v>
      </c>
      <c r="J21" s="1527"/>
      <c r="K21" s="1535" t="str">
        <f>B16</f>
        <v>9,600 دولار</v>
      </c>
      <c r="L21" s="1536"/>
    </row>
    <row r="22" spans="1:12">
      <c r="A22" s="935" t="s">
        <v>614</v>
      </c>
      <c r="B22" s="760" t="str">
        <f>IF($B$20='بيانات للادخال'!$H3,$B$2,"")</f>
        <v/>
      </c>
      <c r="C22" s="936" t="s">
        <v>615</v>
      </c>
      <c r="D22" s="760" t="str">
        <f>IF($B$20='بيانات للادخال'!$H3,D$2,"")</f>
        <v/>
      </c>
      <c r="E22" s="936" t="s">
        <v>979</v>
      </c>
      <c r="F22" s="760" t="str">
        <f>IF($B$20='بيانات للادخال'!$H3,التوصية!$B$8,"")</f>
        <v/>
      </c>
      <c r="G22" s="936" t="s">
        <v>613</v>
      </c>
      <c r="H22" s="766" t="str">
        <f>IF($B$20='بيانات للادخال'!$H3,$L$2,"")</f>
        <v/>
      </c>
    </row>
    <row r="23" spans="1:12">
      <c r="A23" s="935" t="s">
        <v>976</v>
      </c>
      <c r="B23" s="1522"/>
      <c r="C23" s="1522"/>
      <c r="D23" s="1522"/>
      <c r="E23" s="1522"/>
      <c r="F23" s="1522"/>
      <c r="G23" s="1522"/>
      <c r="H23" s="1523"/>
    </row>
    <row r="24" spans="1:12">
      <c r="A24" s="935" t="s">
        <v>977</v>
      </c>
      <c r="B24" s="760" t="str">
        <f>IF($B$23='بيانات للادخال'!$H2,B$9,"")</f>
        <v/>
      </c>
      <c r="C24" s="936" t="s">
        <v>611</v>
      </c>
      <c r="D24" s="760" t="str">
        <f>IF($B$23='بيانات للادخال'!$H2,D$9,"")</f>
        <v/>
      </c>
      <c r="E24" s="936" t="s">
        <v>612</v>
      </c>
      <c r="F24" s="762" t="str">
        <f>IF($B$23='بيانات للادخال'!$H2,$H$9,"")</f>
        <v/>
      </c>
      <c r="G24" s="936" t="s">
        <v>613</v>
      </c>
      <c r="H24" s="766" t="str">
        <f>IF($B$23='بيانات للادخال'!$H2,$L$9,"")</f>
        <v/>
      </c>
    </row>
    <row r="25" spans="1:12" ht="13.5" thickBot="1">
      <c r="A25" s="934" t="s">
        <v>978</v>
      </c>
      <c r="B25" s="767" t="str">
        <f>IF($B$23='بيانات للادخال'!$H3,$B$9,"")</f>
        <v/>
      </c>
      <c r="C25" s="873" t="s">
        <v>615</v>
      </c>
      <c r="D25" s="767" t="str">
        <f>IF($B$23='بيانات للادخال'!$H3,D$9,"")</f>
        <v/>
      </c>
      <c r="E25" s="873" t="s">
        <v>979</v>
      </c>
      <c r="F25" s="767" t="str">
        <f>IF($B$23='بيانات للادخال'!$H3,$H$9,"")</f>
        <v/>
      </c>
      <c r="G25" s="873" t="s">
        <v>613</v>
      </c>
      <c r="H25" s="768" t="str">
        <f>IF($B$23='بيانات للادخال'!$H3,$L$9,"")</f>
        <v/>
      </c>
    </row>
  </sheetData>
  <mergeCells count="23">
    <mergeCell ref="G17:H17"/>
    <mergeCell ref="G18:H18"/>
    <mergeCell ref="I20:J20"/>
    <mergeCell ref="I21:J21"/>
    <mergeCell ref="I19:L19"/>
    <mergeCell ref="K20:L20"/>
    <mergeCell ref="K21:L21"/>
    <mergeCell ref="B23:H23"/>
    <mergeCell ref="A19:H19"/>
    <mergeCell ref="A1:L1"/>
    <mergeCell ref="A3:L3"/>
    <mergeCell ref="D10:E10"/>
    <mergeCell ref="A8:L8"/>
    <mergeCell ref="A11:D11"/>
    <mergeCell ref="E11:L11"/>
    <mergeCell ref="A10:B10"/>
    <mergeCell ref="I13:J13"/>
    <mergeCell ref="A13:E13"/>
    <mergeCell ref="B20:H20"/>
    <mergeCell ref="F13:H13"/>
    <mergeCell ref="G14:H14"/>
    <mergeCell ref="G15:H15"/>
    <mergeCell ref="G16:H16"/>
  </mergeCells>
  <conditionalFormatting sqref="B4:B10">
    <cfRule type="expression" dxfId="58" priority="43">
      <formula>B4=""</formula>
    </cfRule>
  </conditionalFormatting>
  <conditionalFormatting sqref="D2">
    <cfRule type="expression" dxfId="57" priority="42">
      <formula>D2=""</formula>
    </cfRule>
  </conditionalFormatting>
  <conditionalFormatting sqref="D4:D10">
    <cfRule type="expression" dxfId="56" priority="41">
      <formula>D4=""</formula>
    </cfRule>
  </conditionalFormatting>
  <conditionalFormatting sqref="F4:F10">
    <cfRule type="expression" dxfId="55" priority="40">
      <formula>F4=""</formula>
    </cfRule>
  </conditionalFormatting>
  <conditionalFormatting sqref="H4:H10">
    <cfRule type="expression" dxfId="54" priority="37">
      <formula>H4=""</formula>
    </cfRule>
  </conditionalFormatting>
  <conditionalFormatting sqref="J2">
    <cfRule type="expression" dxfId="53" priority="36">
      <formula>J2=""</formula>
    </cfRule>
  </conditionalFormatting>
  <conditionalFormatting sqref="J4:J10">
    <cfRule type="expression" dxfId="52" priority="35">
      <formula>J4=""</formula>
    </cfRule>
  </conditionalFormatting>
  <conditionalFormatting sqref="L2">
    <cfRule type="expression" dxfId="51" priority="33">
      <formula>L2=""</formula>
    </cfRule>
  </conditionalFormatting>
  <conditionalFormatting sqref="B12">
    <cfRule type="expression" dxfId="50" priority="32">
      <formula>B12=""</formula>
    </cfRule>
  </conditionalFormatting>
  <conditionalFormatting sqref="D12">
    <cfRule type="expression" dxfId="49" priority="31">
      <formula>D12=""</formula>
    </cfRule>
  </conditionalFormatting>
  <conditionalFormatting sqref="K20">
    <cfRule type="expression" dxfId="48" priority="15">
      <formula>K20=""</formula>
    </cfRule>
  </conditionalFormatting>
  <conditionalFormatting sqref="K21">
    <cfRule type="expression" dxfId="47" priority="16">
      <formula>K21=""</formula>
    </cfRule>
  </conditionalFormatting>
  <conditionalFormatting sqref="J14:J16">
    <cfRule type="expression" dxfId="46" priority="14">
      <formula>J14=""</formula>
    </cfRule>
  </conditionalFormatting>
  <conditionalFormatting sqref="B20">
    <cfRule type="expression" dxfId="45" priority="9">
      <formula>B20=""</formula>
    </cfRule>
  </conditionalFormatting>
  <conditionalFormatting sqref="B23">
    <cfRule type="expression" dxfId="44" priority="6">
      <formula>B23=""</formula>
    </cfRule>
  </conditionalFormatting>
  <conditionalFormatting sqref="B18">
    <cfRule type="expression" dxfId="43" priority="5">
      <formula>B18=""</formula>
    </cfRule>
  </conditionalFormatting>
  <conditionalFormatting sqref="G14:G16 G18">
    <cfRule type="expression" dxfId="42" priority="4">
      <formula>G14=""</formula>
    </cfRule>
  </conditionalFormatting>
  <conditionalFormatting sqref="F2">
    <cfRule type="expression" dxfId="41" priority="3">
      <formula>F2=""</formula>
    </cfRule>
  </conditionalFormatting>
  <conditionalFormatting sqref="H2">
    <cfRule type="expression" dxfId="40" priority="2">
      <formula>H2=""</formula>
    </cfRule>
  </conditionalFormatting>
  <conditionalFormatting sqref="G17">
    <cfRule type="expression" dxfId="39" priority="1">
      <formula>G17=""</formula>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expression" priority="4180" id="{B937B13C-FCC5-4C5C-8CFA-655AC3C0BF4A}">
            <xm:f>التوصية!$B$279='بيانات للادخال'!$A$3</xm:f>
            <x14:dxf>
              <numFmt numFmtId="181" formatCode="_([$ILS]\ * #,##0.00_);_([$ILS]\ * \(#,##0.00\);_([$ILS]\ * &quot;-&quot;??_);_(@_)"/>
            </x14:dxf>
          </x14:cfRule>
          <x14:cfRule type="expression" priority="4181" id="{D901E53A-BE57-4BDD-A87A-953F0E999CCE}">
            <xm:f>التوصية!$B$279='بيانات للادخال'!$A$2</xm:f>
            <x14:dxf>
              <numFmt numFmtId="34" formatCode="_(&quot;$&quot;* #,##0.00_);_(&quot;$&quot;* \(#,##0.00\);_(&quot;$&quot;* &quot;-&quot;??_);_(@_)"/>
            </x14:dxf>
          </x14:cfRule>
          <xm:sqref>J10 H10 C10 F10</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B00-000000000000}">
          <x14:formula1>
            <xm:f>'بيانات للادخال'!$H$2:$H$3</xm:f>
          </x14:formula1>
          <xm:sqref>B20 B23</xm:sqref>
        </x14:dataValidation>
        <x14:dataValidation type="list" allowBlank="1" showInputMessage="1" showErrorMessage="1" xr:uid="{00000000-0002-0000-0B00-000001000000}">
          <x14:formula1>
            <xm:f>'بيانات للادخال'!$AD$2:$AD$3</xm:f>
          </x14:formula1>
          <xm:sqref>G14</xm:sqref>
        </x14:dataValidation>
        <x14:dataValidation type="list" allowBlank="1" showInputMessage="1" showErrorMessage="1" xr:uid="{00000000-0002-0000-0B00-000002000000}">
          <x14:formula1>
            <xm:f>'بيانات للادخال'!$AA$2:$AA$6</xm:f>
          </x14:formula1>
          <xm:sqref>G15:H15 G16:H16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6"/>
  <sheetViews>
    <sheetView rightToLeft="1" view="pageBreakPreview" zoomScale="60" zoomScaleNormal="100" workbookViewId="0">
      <selection activeCell="E4" sqref="E4"/>
    </sheetView>
  </sheetViews>
  <sheetFormatPr defaultRowHeight="15"/>
  <cols>
    <col min="1" max="1" width="5.42578125" bestFit="1" customWidth="1"/>
    <col min="2" max="3" width="19.7109375" customWidth="1"/>
    <col min="4" max="4" width="24.42578125" bestFit="1" customWidth="1"/>
    <col min="5" max="5" width="19.7109375" customWidth="1"/>
  </cols>
  <sheetData>
    <row r="1" spans="1:5" ht="37.15" customHeight="1">
      <c r="A1" s="1537" t="s">
        <v>1640</v>
      </c>
      <c r="B1" s="1537"/>
      <c r="C1" s="1537"/>
      <c r="D1" s="1537"/>
      <c r="E1" s="1537"/>
    </row>
    <row r="2" spans="1:5" ht="15.75">
      <c r="A2" s="1212"/>
      <c r="B2" s="1212" t="s">
        <v>385</v>
      </c>
      <c r="C2" s="1212" t="s">
        <v>1639</v>
      </c>
      <c r="D2" s="1212" t="s">
        <v>1572</v>
      </c>
      <c r="E2" s="1212" t="s">
        <v>637</v>
      </c>
    </row>
    <row r="3" spans="1:5">
      <c r="A3" s="2"/>
      <c r="B3" s="1211">
        <f>'مدخلات العقود'!B2</f>
        <v>0</v>
      </c>
      <c r="C3" s="1211" t="str">
        <f>'مدخلات العقود'!B4</f>
        <v>لا يوجد</v>
      </c>
      <c r="D3" s="1210" t="str">
        <f>'مدخلات العقود'!B5</f>
        <v>لا يوجد</v>
      </c>
      <c r="E3" s="2" t="str">
        <f>'مدخلات العقود'!B6</f>
        <v>لا يوجد</v>
      </c>
    </row>
    <row r="4" spans="1:5" ht="76.900000000000006" customHeight="1">
      <c r="A4" s="2" t="s">
        <v>920</v>
      </c>
      <c r="B4" s="2"/>
      <c r="C4" s="2"/>
      <c r="D4" s="2"/>
      <c r="E4" s="2"/>
    </row>
    <row r="5" spans="1:5" ht="76.900000000000006" customHeight="1">
      <c r="A5" s="2" t="s">
        <v>920</v>
      </c>
      <c r="B5" s="2"/>
      <c r="C5" s="2"/>
      <c r="D5" s="2"/>
      <c r="E5" s="2"/>
    </row>
    <row r="6" spans="1:5" ht="76.900000000000006" customHeight="1">
      <c r="A6" s="2" t="s">
        <v>920</v>
      </c>
      <c r="B6" s="2"/>
      <c r="C6" s="2"/>
      <c r="D6" s="2"/>
      <c r="E6" s="2"/>
    </row>
    <row r="7" spans="1:5" ht="76.900000000000006" customHeight="1">
      <c r="A7" s="2" t="s">
        <v>920</v>
      </c>
      <c r="B7" s="2"/>
      <c r="C7" s="2"/>
      <c r="D7" s="2"/>
      <c r="E7" s="2"/>
    </row>
    <row r="8" spans="1:5" ht="76.900000000000006" customHeight="1">
      <c r="A8" s="2" t="s">
        <v>920</v>
      </c>
      <c r="B8" s="2"/>
      <c r="C8" s="2"/>
      <c r="D8" s="2"/>
      <c r="E8" s="2"/>
    </row>
    <row r="10" spans="1:5">
      <c r="A10" t="s">
        <v>1204</v>
      </c>
    </row>
    <row r="12" spans="1:5">
      <c r="A12" t="s">
        <v>1207</v>
      </c>
    </row>
    <row r="14" spans="1:5">
      <c r="A14" t="s">
        <v>1208</v>
      </c>
    </row>
    <row r="16" spans="1:5">
      <c r="A16" t="s">
        <v>1209</v>
      </c>
    </row>
  </sheetData>
  <mergeCells count="1">
    <mergeCell ref="A1:E1"/>
  </mergeCells>
  <pageMargins left="0.7" right="0.7" top="0.75" bottom="0.75" header="0.3" footer="0.3"/>
  <pageSetup paperSize="9" scale="98"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5"/>
  <dimension ref="A1:C36"/>
  <sheetViews>
    <sheetView rightToLeft="1" view="pageBreakPreview" topLeftCell="A19" zoomScale="60" zoomScaleNormal="100" workbookViewId="0">
      <selection activeCell="K13" sqref="K13"/>
    </sheetView>
  </sheetViews>
  <sheetFormatPr defaultColWidth="9.140625" defaultRowHeight="30"/>
  <cols>
    <col min="1" max="2" width="44.7109375" style="958" customWidth="1"/>
    <col min="3" max="16384" width="9.140625" style="958"/>
  </cols>
  <sheetData>
    <row r="1" spans="1:3">
      <c r="A1" s="1538" t="str">
        <f>"التاريخ: "&amp;TEXT('مدخلات العقود'!$J$15,"dd/mm/yyyy")</f>
        <v>التاريخ: 00/01/1900</v>
      </c>
      <c r="B1" s="1538"/>
    </row>
    <row r="2" spans="1:3">
      <c r="A2" s="1538" t="s">
        <v>1321</v>
      </c>
      <c r="B2" s="1538"/>
    </row>
    <row r="3" spans="1:3">
      <c r="A3" s="1538" t="s">
        <v>1238</v>
      </c>
      <c r="B3" s="1538"/>
    </row>
    <row r="4" spans="1:3">
      <c r="A4" s="1543" t="s">
        <v>1319</v>
      </c>
      <c r="B4" s="1543"/>
    </row>
    <row r="5" spans="1:3">
      <c r="A5" s="1538" t="str">
        <f>"مقدم من السيد / السادة: "&amp;'مدخلات العقود'!$B$9</f>
        <v>مقدم من السيد / السادة: 0</v>
      </c>
      <c r="B5" s="1538"/>
    </row>
    <row r="6" spans="1:3">
      <c r="A6" s="1538" t="str">
        <f>"الامر بالشراء: "&amp;'مدخلات العقود'!$B$2</f>
        <v>الامر بالشراء: 0</v>
      </c>
      <c r="B6" s="1538"/>
    </row>
    <row r="7" spans="1:3">
      <c r="A7" s="1545" t="s">
        <v>1323</v>
      </c>
      <c r="B7" s="1545"/>
    </row>
    <row r="8" spans="1:3" ht="30" customHeight="1">
      <c r="A8" s="1541" t="s">
        <v>957</v>
      </c>
      <c r="B8" s="1541"/>
    </row>
    <row r="9" spans="1:3" s="820" customFormat="1" ht="60.95" customHeight="1">
      <c r="A9" s="1540" t="str">
        <f>'مدخلات العقود'!$F$12</f>
        <v/>
      </c>
      <c r="B9" s="1540"/>
      <c r="C9" s="821"/>
    </row>
    <row r="10" spans="1:3" s="820" customFormat="1">
      <c r="A10" s="1541" t="s">
        <v>954</v>
      </c>
      <c r="B10" s="1541"/>
      <c r="C10" s="821"/>
    </row>
    <row r="11" spans="1:3" s="820" customFormat="1" ht="60.95" customHeight="1">
      <c r="A11" s="1540" t="str">
        <f>'مدخلات العقود'!$J$12</f>
        <v/>
      </c>
      <c r="B11" s="1540"/>
      <c r="C11" s="826"/>
    </row>
    <row r="12" spans="1:3" s="820" customFormat="1">
      <c r="A12" s="1541" t="s">
        <v>919</v>
      </c>
      <c r="B12" s="1541"/>
      <c r="C12" s="826"/>
    </row>
    <row r="13" spans="1:3" s="820" customFormat="1" ht="60.95" customHeight="1">
      <c r="A13" s="1540">
        <f>'مدخلات العقود'!$H$12</f>
        <v>2015</v>
      </c>
      <c r="B13" s="1540"/>
      <c r="C13" s="826"/>
    </row>
    <row r="14" spans="1:3" s="820" customFormat="1">
      <c r="A14" s="1541" t="s">
        <v>958</v>
      </c>
      <c r="B14" s="1541"/>
      <c r="C14" s="826"/>
    </row>
    <row r="15" spans="1:3" s="820" customFormat="1" ht="60.95" customHeight="1">
      <c r="A15" s="1540" t="str">
        <f>'مدخلات العقود'!$L$12</f>
        <v/>
      </c>
      <c r="B15" s="1540"/>
      <c r="C15" s="826"/>
    </row>
    <row r="16" spans="1:3" ht="39.950000000000003" customHeight="1">
      <c r="A16" s="1542" t="str">
        <f>"السعر: "&amp;TEXT(التوصية!D249,"0,0")&amp;" "&amp;التوصية!$B$249&amp;IF(التوصية!B249=FC,"",IF(AND(التوصية!B249&lt;&gt;FC,FC=USD,التوصية!B249=ILS)," ما يعادل "&amp;TEXT('مدخلات العقود'!$F$10,"0,0")&amp;" "&amp;FC))</f>
        <v>السعر: 00 شيكل ما يعادل 00 دولار</v>
      </c>
      <c r="B16" s="1542"/>
    </row>
    <row r="17" spans="1:3">
      <c r="A17" s="1544">
        <f>'مدخلات العقود'!$B$9</f>
        <v>0</v>
      </c>
      <c r="B17" s="1544"/>
    </row>
    <row r="18" spans="1:3">
      <c r="A18" s="1544" t="s">
        <v>256</v>
      </c>
      <c r="B18" s="1544"/>
    </row>
    <row r="19" spans="1:3">
      <c r="A19" s="1539" t="s">
        <v>1320</v>
      </c>
      <c r="B19" s="1539"/>
    </row>
    <row r="20" spans="1:3">
      <c r="A20" s="1538" t="str">
        <f>"التاريخ: "&amp;TEXT('مدخلات العقود'!$J$15,"dd/mm/yyyy")</f>
        <v>التاريخ: 00/01/1900</v>
      </c>
      <c r="B20" s="1538"/>
    </row>
    <row r="21" spans="1:3">
      <c r="A21" s="1538" t="s">
        <v>1321</v>
      </c>
      <c r="B21" s="1538"/>
    </row>
    <row r="22" spans="1:3">
      <c r="A22" s="1538" t="s">
        <v>1238</v>
      </c>
      <c r="B22" s="1538"/>
    </row>
    <row r="23" spans="1:3">
      <c r="A23" s="1543" t="s">
        <v>1322</v>
      </c>
      <c r="B23" s="1543"/>
    </row>
    <row r="24" spans="1:3" ht="87.75" customHeight="1">
      <c r="A24" s="1546" t="str">
        <f>"تم استلام مبلغ "&amp;'مدخلات العقود'!$H$10&amp;" "&amp;FC&amp;" من السادة شركة الاجارة الفلسطينية، وذلك كدفعة مقدمة لشراء الاصل/ول المبين تفاصيله ادناه:"</f>
        <v>تم استلام مبلغ 0 دولار من السادة شركة الاجارة الفلسطينية، وذلك كدفعة مقدمة لشراء الاصل/ول المبين تفاصيله ادناه:</v>
      </c>
      <c r="B24" s="1546"/>
    </row>
    <row r="25" spans="1:3" ht="30" customHeight="1">
      <c r="A25" s="1541" t="s">
        <v>957</v>
      </c>
      <c r="B25" s="1541"/>
    </row>
    <row r="26" spans="1:3" s="820" customFormat="1" ht="60.95" customHeight="1">
      <c r="A26" s="1540" t="str">
        <f>'مدخلات العقود'!$F$12</f>
        <v/>
      </c>
      <c r="B26" s="1540"/>
      <c r="C26" s="821"/>
    </row>
    <row r="27" spans="1:3" s="820" customFormat="1">
      <c r="A27" s="1541" t="s">
        <v>954</v>
      </c>
      <c r="B27" s="1541"/>
      <c r="C27" s="821"/>
    </row>
    <row r="28" spans="1:3" s="820" customFormat="1" ht="60.95" customHeight="1">
      <c r="A28" s="1540" t="str">
        <f>'مدخلات العقود'!$J$12</f>
        <v/>
      </c>
      <c r="B28" s="1540"/>
      <c r="C28" s="826"/>
    </row>
    <row r="29" spans="1:3" s="820" customFormat="1">
      <c r="A29" s="1541" t="s">
        <v>919</v>
      </c>
      <c r="B29" s="1541"/>
      <c r="C29" s="826"/>
    </row>
    <row r="30" spans="1:3" s="820" customFormat="1" ht="60.95" customHeight="1">
      <c r="A30" s="1540">
        <f>'مدخلات العقود'!$H$12</f>
        <v>2015</v>
      </c>
      <c r="B30" s="1540"/>
      <c r="C30" s="826"/>
    </row>
    <row r="31" spans="1:3" s="820" customFormat="1">
      <c r="A31" s="1541" t="s">
        <v>958</v>
      </c>
      <c r="B31" s="1541"/>
      <c r="C31" s="826"/>
    </row>
    <row r="32" spans="1:3" s="820" customFormat="1" ht="60.95" customHeight="1">
      <c r="A32" s="1540" t="str">
        <f>'مدخلات العقود'!$L$12</f>
        <v/>
      </c>
      <c r="B32" s="1540"/>
      <c r="C32" s="826"/>
    </row>
    <row r="33" spans="1:3" s="820" customFormat="1">
      <c r="A33" s="1544"/>
      <c r="B33" s="1544"/>
      <c r="C33" s="826"/>
    </row>
    <row r="34" spans="1:3">
      <c r="A34" s="1544">
        <f>'مدخلات العقود'!$B$9</f>
        <v>0</v>
      </c>
      <c r="B34" s="1544"/>
    </row>
    <row r="35" spans="1:3">
      <c r="A35" s="1544" t="s">
        <v>256</v>
      </c>
      <c r="B35" s="1544"/>
    </row>
    <row r="36" spans="1:3">
      <c r="A36" s="1539" t="s">
        <v>1320</v>
      </c>
      <c r="B36" s="1539"/>
    </row>
  </sheetData>
  <mergeCells count="36">
    <mergeCell ref="A36:B36"/>
    <mergeCell ref="A24:B24"/>
    <mergeCell ref="A30:B30"/>
    <mergeCell ref="A31:B31"/>
    <mergeCell ref="A32:B32"/>
    <mergeCell ref="A33:B33"/>
    <mergeCell ref="A34:B34"/>
    <mergeCell ref="A35:B35"/>
    <mergeCell ref="A25:B25"/>
    <mergeCell ref="A26:B26"/>
    <mergeCell ref="A27:B27"/>
    <mergeCell ref="A28:B28"/>
    <mergeCell ref="A29:B29"/>
    <mergeCell ref="A23:B23"/>
    <mergeCell ref="A1:B1"/>
    <mergeCell ref="A2:B2"/>
    <mergeCell ref="A3:B3"/>
    <mergeCell ref="A4:B4"/>
    <mergeCell ref="A5:B5"/>
    <mergeCell ref="A6:B6"/>
    <mergeCell ref="A17:B17"/>
    <mergeCell ref="A18:B18"/>
    <mergeCell ref="A7:B7"/>
    <mergeCell ref="A8:B8"/>
    <mergeCell ref="A9:B9"/>
    <mergeCell ref="A10:B10"/>
    <mergeCell ref="A11:B11"/>
    <mergeCell ref="A12:B12"/>
    <mergeCell ref="A20:B20"/>
    <mergeCell ref="A21:B21"/>
    <mergeCell ref="A22:B22"/>
    <mergeCell ref="A19:B19"/>
    <mergeCell ref="A13:B13"/>
    <mergeCell ref="A14:B14"/>
    <mergeCell ref="A15:B15"/>
    <mergeCell ref="A16:B16"/>
  </mergeCells>
  <pageMargins left="0.7" right="0.7" top="0.75" bottom="0.75" header="0.3" footer="0.3"/>
  <pageSetup scale="95"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9">
    <pageSetUpPr fitToPage="1"/>
  </sheetPr>
  <dimension ref="A1:AA104"/>
  <sheetViews>
    <sheetView showGridLines="0" rightToLeft="1" topLeftCell="A10" zoomScaleNormal="100" workbookViewId="0">
      <selection activeCell="W24" sqref="W24:W25"/>
    </sheetView>
  </sheetViews>
  <sheetFormatPr defaultColWidth="6.42578125" defaultRowHeight="15"/>
  <cols>
    <col min="1" max="1" width="13.42578125" style="362" customWidth="1"/>
    <col min="2" max="2" width="4.7109375" style="362" customWidth="1"/>
    <col min="3" max="3" width="1.7109375" style="362" bestFit="1" customWidth="1"/>
    <col min="4" max="4" width="4.7109375" style="362" customWidth="1"/>
    <col min="5" max="5" width="1.7109375" style="362" bestFit="1" customWidth="1"/>
    <col min="6" max="6" width="4.7109375" style="362" customWidth="1"/>
    <col min="7" max="7" width="10.5703125" style="317" customWidth="1"/>
    <col min="8" max="8" width="6.42578125" style="317"/>
    <col min="9" max="9" width="13.42578125" style="362" customWidth="1"/>
    <col min="10" max="10" width="4.7109375" style="362" customWidth="1"/>
    <col min="11" max="11" width="1.7109375" style="362" bestFit="1" customWidth="1"/>
    <col min="12" max="12" width="4.7109375" style="362" customWidth="1"/>
    <col min="13" max="13" width="1.7109375" style="362" bestFit="1" customWidth="1"/>
    <col min="14" max="14" width="4.7109375" style="362" customWidth="1"/>
    <col min="15" max="15" width="14.140625" style="317" bestFit="1" customWidth="1"/>
    <col min="16" max="17" width="6.42578125" style="317"/>
    <col min="18" max="18" width="6.42578125" style="362"/>
    <col min="19" max="19" width="10.7109375" style="362" bestFit="1" customWidth="1"/>
    <col min="20" max="26" width="6.42578125" style="317"/>
    <col min="27" max="27" width="9.7109375" style="317" bestFit="1" customWidth="1"/>
    <col min="28" max="16384" width="6.42578125" style="317"/>
  </cols>
  <sheetData>
    <row r="1" spans="1:27">
      <c r="A1" s="1549" t="s">
        <v>1529</v>
      </c>
      <c r="B1" s="1549"/>
      <c r="C1" s="1549"/>
      <c r="D1" s="1549"/>
      <c r="E1" s="1549"/>
      <c r="F1" s="1549"/>
      <c r="G1" s="1549"/>
      <c r="H1" s="1549"/>
      <c r="I1" s="1549"/>
      <c r="J1" s="1549"/>
      <c r="K1" s="1549"/>
      <c r="L1" s="1549"/>
      <c r="M1" s="1549"/>
      <c r="N1" s="1549"/>
      <c r="O1" s="1549"/>
    </row>
    <row r="2" spans="1:27" ht="15" customHeight="1">
      <c r="A2" s="814" t="s">
        <v>578</v>
      </c>
      <c r="B2" s="1555">
        <f>التوصية!B2</f>
        <v>0</v>
      </c>
      <c r="C2" s="1556"/>
      <c r="D2" s="1556"/>
      <c r="E2" s="1556"/>
      <c r="F2" s="1556"/>
      <c r="G2" s="1556"/>
      <c r="H2" s="1556"/>
      <c r="I2" s="1556"/>
      <c r="J2" s="1556"/>
      <c r="K2" s="1556"/>
      <c r="L2" s="1556"/>
      <c r="M2" s="1556"/>
      <c r="N2" s="1556"/>
      <c r="O2" s="1556"/>
    </row>
    <row r="3" spans="1:27">
      <c r="A3" s="1557" t="s">
        <v>574</v>
      </c>
      <c r="B3" s="1550" t="s">
        <v>575</v>
      </c>
      <c r="C3" s="1551"/>
      <c r="D3" s="1551"/>
      <c r="E3" s="1551"/>
      <c r="F3" s="1552"/>
      <c r="G3" s="1559" t="s">
        <v>576</v>
      </c>
      <c r="H3" s="620"/>
      <c r="I3" s="1557" t="s">
        <v>574</v>
      </c>
      <c r="J3" s="1550" t="s">
        <v>575</v>
      </c>
      <c r="K3" s="1551"/>
      <c r="L3" s="1551"/>
      <c r="M3" s="1551"/>
      <c r="N3" s="1552"/>
      <c r="O3" s="1559" t="s">
        <v>576</v>
      </c>
      <c r="U3" s="317">
        <v>0</v>
      </c>
      <c r="V3" s="627">
        <f>IF(D5=1,B5-1,B5)</f>
        <v>2021</v>
      </c>
      <c r="W3" s="621" t="str">
        <f>IF(U3="","","/")</f>
        <v>/</v>
      </c>
      <c r="X3" s="621">
        <f>IF(D5-1=0,12,D5-1)</f>
        <v>4</v>
      </c>
      <c r="Y3" s="621" t="str">
        <f>IF(U3="","","/")</f>
        <v>/</v>
      </c>
      <c r="Z3" s="628">
        <f>F5</f>
        <v>0</v>
      </c>
      <c r="AA3" s="317" t="str">
        <f>Z3&amp;Y3&amp;X3&amp;W3&amp;V3</f>
        <v>0/4/2021</v>
      </c>
    </row>
    <row r="4" spans="1:27">
      <c r="A4" s="1558"/>
      <c r="B4" s="1022" t="s">
        <v>1549</v>
      </c>
      <c r="C4" s="1023" t="s">
        <v>579</v>
      </c>
      <c r="D4" s="1023" t="s">
        <v>1550</v>
      </c>
      <c r="E4" s="1023" t="s">
        <v>579</v>
      </c>
      <c r="F4" s="1024" t="s">
        <v>1551</v>
      </c>
      <c r="G4" s="1560"/>
      <c r="H4" s="620"/>
      <c r="I4" s="1558"/>
      <c r="J4" s="1022" t="s">
        <v>1549</v>
      </c>
      <c r="K4" s="1023" t="s">
        <v>579</v>
      </c>
      <c r="L4" s="1023" t="s">
        <v>1550</v>
      </c>
      <c r="M4" s="1023" t="s">
        <v>579</v>
      </c>
      <c r="N4" s="1024" t="s">
        <v>1551</v>
      </c>
      <c r="O4" s="1560"/>
      <c r="R4" s="351">
        <v>0</v>
      </c>
      <c r="S4" s="641" t="str">
        <f t="shared" ref="S4:S33" si="0">F5&amp;E5&amp;D5&amp;C5&amp;B5</f>
        <v>/5/2021</v>
      </c>
      <c r="T4" s="368">
        <v>1</v>
      </c>
      <c r="U4" s="636">
        <v>31</v>
      </c>
    </row>
    <row r="5" spans="1:27">
      <c r="A5" s="630">
        <v>1</v>
      </c>
      <c r="B5" s="627">
        <v>2021</v>
      </c>
      <c r="C5" s="621" t="s">
        <v>579</v>
      </c>
      <c r="D5" s="621">
        <v>5</v>
      </c>
      <c r="E5" s="621" t="s">
        <v>579</v>
      </c>
      <c r="F5" s="628"/>
      <c r="G5" s="622">
        <f>IF(AND(FC=USD,OR(التوصية!$B$248='بيانات للادخال'!$F$2,التوصية!$B$248='بيانات للادخال'!$F$3)),ROUNDUP(الحاسبة!BF9,0),IF(AND(FC=USD,التوصية!$B$248='بيانات للادخال'!$F$4),ROUND(الحاسبة!BF9,2),IF(AND(FC=ILS,OR(التوصية!$B$248='بيانات للادخال'!$F$2,التوصية!$B$248='بيانات للادخال'!$F$3)),ROUNDUP(الحاسبة!BF9*usdrate,0),IF(AND(FC=ILS,التوصية!$B$248='بيانات للادخال'!$F$4),ROUND(الحاسبة!BF9*usdrate,2),IF(AND(FC=EUR,OR(التوصية!$B$248='بيانات للادخال'!$F$2,التوصية!$B$248='بيانات للادخال'!$F$3)),ROUNDUP(الحاسبة!BF9/eurrate,0),IF(AND(FC=EUR,التوصية!$B$248='بيانات للادخال'!$F$4),ROUND(الحاسبة!BF9/eurrate,2),0))))))</f>
        <v>200</v>
      </c>
      <c r="H5" s="623"/>
      <c r="I5" s="630">
        <f>IFERROR(IF(A34=التوصية!$D$280,"",'جدول السداد'!A34+1),"")</f>
        <v>31</v>
      </c>
      <c r="J5" s="627">
        <f>IF(I5="","",IF(D34&lt;12,B34,B34+1))</f>
        <v>2023</v>
      </c>
      <c r="K5" s="621" t="str">
        <f>IF(I5="","","/")</f>
        <v>/</v>
      </c>
      <c r="L5" s="621">
        <f>IF(I5="","",IF(D34&lt;12,D34+1,1))</f>
        <v>11</v>
      </c>
      <c r="M5" s="621" t="s">
        <v>579</v>
      </c>
      <c r="N5" s="628">
        <f>IF(I5="","",IF(F34&gt;=28,VLOOKUP(L5,$T$4:$U$15,2,FALSE),F34))</f>
        <v>0</v>
      </c>
      <c r="O5" s="622">
        <f>IF(AND(FC=USD,OR(التوصية!$B$248='بيانات للادخال'!$F$2,التوصية!$B$248='بيانات للادخال'!$F$3)),ROUNDUP(الحاسبة!BF39,0),IF(AND(FC=USD,التوصية!$B$248='بيانات للادخال'!$F$4),ROUND(الحاسبة!BF39,2),IF(AND(FC=ILS,OR(التوصية!$B$248='بيانات للادخال'!$F$2,التوصية!$B$248='بيانات للادخال'!$F$3)),ROUNDUP(الحاسبة!BF39*usdrate,0),IF(AND(FC=ILS,التوصية!$B$248='بيانات للادخال'!$F$4),ROUND(الحاسبة!BF39*usdrate,2),IF(AND(FC=EUR,OR(التوصية!$B$248='بيانات للادخال'!$F$2,التوصية!$B$248='بيانات للادخال'!$F$3)),ROUNDUP(الحاسبة!BF39/eurrate,0),IF(AND(FC=EUR,التوصية!$B$248='بيانات للادخال'!$F$4),ROUND(الحاسبة!BF39/eurrate,2),0))))))</f>
        <v>200</v>
      </c>
      <c r="R5" s="383">
        <f>R4+1</f>
        <v>1</v>
      </c>
      <c r="S5" s="642" t="str">
        <f t="shared" si="0"/>
        <v>0/6/2021</v>
      </c>
      <c r="T5" s="637">
        <f>T4+1</f>
        <v>2</v>
      </c>
      <c r="U5" s="638">
        <v>28</v>
      </c>
    </row>
    <row r="6" spans="1:27">
      <c r="A6" s="630">
        <f>IFERROR(IF(A5=التوصية!$D$280,"",'جدول السداد'!A5+1),"")</f>
        <v>2</v>
      </c>
      <c r="B6" s="627">
        <f>IF(A6="","",IF(D5&lt;12,B5,B5+1))</f>
        <v>2021</v>
      </c>
      <c r="C6" s="621" t="str">
        <f>IF(A6="","","/")</f>
        <v>/</v>
      </c>
      <c r="D6" s="621">
        <f>IF(A6="","",IF(D5=12,1,D5+1))</f>
        <v>6</v>
      </c>
      <c r="E6" s="621" t="str">
        <f>IF(A6="","","/")</f>
        <v>/</v>
      </c>
      <c r="F6" s="628">
        <f>IF(A6="","",IF(F5&gt;=28,VLOOKUP(D6,$T$4:$U$15,2,FALSE),F5))</f>
        <v>0</v>
      </c>
      <c r="G6" s="622">
        <f>IF(AND(FC=USD,OR(التوصية!$B$248='بيانات للادخال'!$F$2,التوصية!$B$248='بيانات للادخال'!$F$3)),ROUNDUP(الحاسبة!BF10,0),IF(AND(FC=USD,التوصية!$B$248='بيانات للادخال'!$F$4),ROUND(الحاسبة!BF10,2),IF(AND(FC=ILS,OR(التوصية!$B$248='بيانات للادخال'!$F$2,التوصية!$B$248='بيانات للادخال'!$F$3)),ROUNDUP(الحاسبة!BF10*usdrate,0),IF(AND(FC=ILS,التوصية!$B$248='بيانات للادخال'!$F$4),ROUND(الحاسبة!BF10*usdrate,2),IF(AND(FC=EUR,OR(التوصية!$B$248='بيانات للادخال'!$F$2,التوصية!$B$248='بيانات للادخال'!$F$3)),ROUNDUP(الحاسبة!BF10/eurrate,0),IF(AND(FC=EUR,التوصية!$B$248='بيانات للادخال'!$F$4),ROUND(الحاسبة!BF10/eurrate,2),0))))))</f>
        <v>200</v>
      </c>
      <c r="H6" s="623"/>
      <c r="I6" s="630">
        <f>IFERROR(IF(I5=التوصية!$D$280,"",'جدول السداد'!I5+1),"")</f>
        <v>32</v>
      </c>
      <c r="J6" s="627">
        <f>IF(I6="","",IF(L5&lt;12,J5,J5+1))</f>
        <v>2023</v>
      </c>
      <c r="K6" s="621" t="str">
        <f t="shared" ref="K6:K34" si="1">IF(I6="","","/")</f>
        <v>/</v>
      </c>
      <c r="L6" s="621">
        <f>IF(I6="","",IF(L5&lt;12,L5+1,1))</f>
        <v>12</v>
      </c>
      <c r="M6" s="621" t="str">
        <f>IF(I6="","","/")</f>
        <v>/</v>
      </c>
      <c r="N6" s="628">
        <f>IF(I6="","",IF(N5&gt;=28,VLOOKUP(L6,$T$4:$U$15,2,FALSE),N5))</f>
        <v>0</v>
      </c>
      <c r="O6" s="622">
        <f>IF(AND(FC=USD,OR(التوصية!$B$248='بيانات للادخال'!$F$2,التوصية!$B$248='بيانات للادخال'!$F$3)),ROUNDUP(الحاسبة!BF40,0),IF(AND(FC=USD,التوصية!$B$248='بيانات للادخال'!$F$4),ROUND(الحاسبة!BF40,2),IF(AND(FC=ILS,OR(التوصية!$B$248='بيانات للادخال'!$F$2,التوصية!$B$248='بيانات للادخال'!$F$3)),ROUNDUP(الحاسبة!BF40*usdrate,0),IF(AND(FC=ILS,التوصية!$B$248='بيانات للادخال'!$F$4),ROUND(الحاسبة!BF40*usdrate,2),IF(AND(FC=EUR,OR(التوصية!$B$248='بيانات للادخال'!$F$2,التوصية!$B$248='بيانات للادخال'!$F$3)),ROUNDUP(الحاسبة!BF40/eurrate,0),IF(AND(FC=EUR,التوصية!$B$248='بيانات للادخال'!$F$4),ROUND(الحاسبة!BF40/eurrate,2),0))))))</f>
        <v>200</v>
      </c>
      <c r="R6" s="383">
        <f t="shared" ref="R6:R66" si="2">R5+1</f>
        <v>2</v>
      </c>
      <c r="S6" s="642" t="str">
        <f t="shared" si="0"/>
        <v>0/7/2021</v>
      </c>
      <c r="T6" s="637">
        <f t="shared" ref="T6:T15" si="3">T5+1</f>
        <v>3</v>
      </c>
      <c r="U6" s="638">
        <v>31</v>
      </c>
    </row>
    <row r="7" spans="1:27">
      <c r="A7" s="630">
        <f>IFERROR(IF(A6=التوصية!$D$280,"",'جدول السداد'!A6+1),"")</f>
        <v>3</v>
      </c>
      <c r="B7" s="627">
        <f t="shared" ref="B7:B34" si="4">IF(A7="","",IF(D6&lt;12,B6,B6+1))</f>
        <v>2021</v>
      </c>
      <c r="C7" s="621" t="str">
        <f t="shared" ref="C7:C34" si="5">IF(A7="","","/")</f>
        <v>/</v>
      </c>
      <c r="D7" s="621">
        <f t="shared" ref="D7:D34" si="6">IF(A7="","",IF(D6=12,1,D6+1))</f>
        <v>7</v>
      </c>
      <c r="E7" s="621" t="str">
        <f t="shared" ref="E7:E34" si="7">IF(A7="","","/")</f>
        <v>/</v>
      </c>
      <c r="F7" s="628">
        <f t="shared" ref="F7:F34" si="8">IF(A7="","",IF(F6&gt;=28,VLOOKUP(D7,$T$4:$U$15,2,FALSE),F6))</f>
        <v>0</v>
      </c>
      <c r="G7" s="622">
        <f>IF(AND(FC=USD,OR(التوصية!$B$248='بيانات للادخال'!$F$2,التوصية!$B$248='بيانات للادخال'!$F$3)),ROUNDUP(الحاسبة!BF11,0),IF(AND(FC=USD,التوصية!$B$248='بيانات للادخال'!$F$4),ROUND(الحاسبة!BF11,2),IF(AND(FC=ILS,OR(التوصية!$B$248='بيانات للادخال'!$F$2,التوصية!$B$248='بيانات للادخال'!$F$3)),ROUNDUP(الحاسبة!BF11*usdrate,0),IF(AND(FC=ILS,التوصية!$B$248='بيانات للادخال'!$F$4),ROUND(الحاسبة!BF11*usdrate,2),IF(AND(FC=EUR,OR(التوصية!$B$248='بيانات للادخال'!$F$2,التوصية!$B$248='بيانات للادخال'!$F$3)),ROUNDUP(الحاسبة!BF11/eurrate,0),IF(AND(FC=EUR,التوصية!$B$248='بيانات للادخال'!$F$4),ROUND(الحاسبة!BF11/eurrate,2),0))))))</f>
        <v>200</v>
      </c>
      <c r="H7" s="624"/>
      <c r="I7" s="630">
        <f>IFERROR(IF(I6=التوصية!$D$280,"",'جدول السداد'!I6+1),"")</f>
        <v>33</v>
      </c>
      <c r="J7" s="627">
        <f t="shared" ref="J7:J34" si="9">IF(I7="","",IF(L6&lt;12,J6,J6+1))</f>
        <v>2024</v>
      </c>
      <c r="K7" s="621" t="str">
        <f t="shared" si="1"/>
        <v>/</v>
      </c>
      <c r="L7" s="621">
        <f t="shared" ref="L7:L34" si="10">IF(I7="","",IF(L6&lt;12,L6+1,1))</f>
        <v>1</v>
      </c>
      <c r="M7" s="621" t="str">
        <f t="shared" ref="M7:M34" si="11">IF(I7="","","/")</f>
        <v>/</v>
      </c>
      <c r="N7" s="628">
        <f t="shared" ref="N7:N34" si="12">IF(I7="","",IF(N6&gt;=28,VLOOKUP(L7,$T$4:$U$15,2,FALSE),N6))</f>
        <v>0</v>
      </c>
      <c r="O7" s="622">
        <f>IF(AND(FC=USD,OR(التوصية!$B$248='بيانات للادخال'!$F$2,التوصية!$B$248='بيانات للادخال'!$F$3)),ROUNDUP(الحاسبة!BF41,0),IF(AND(FC=USD,التوصية!$B$248='بيانات للادخال'!$F$4),ROUND(الحاسبة!BF41,2),IF(AND(FC=ILS,OR(التوصية!$B$248='بيانات للادخال'!$F$2,التوصية!$B$248='بيانات للادخال'!$F$3)),ROUNDUP(الحاسبة!BF41*usdrate,0),IF(AND(FC=ILS,التوصية!$B$248='بيانات للادخال'!$F$4),ROUND(الحاسبة!BF41*usdrate,2),IF(AND(FC=EUR,OR(التوصية!$B$248='بيانات للادخال'!$F$2,التوصية!$B$248='بيانات للادخال'!$F$3)),ROUNDUP(الحاسبة!BF41/eurrate,0),IF(AND(FC=EUR,التوصية!$B$248='بيانات للادخال'!$F$4),ROUND(الحاسبة!BF41/eurrate,2),0))))))</f>
        <v>200</v>
      </c>
      <c r="R7" s="383">
        <f t="shared" si="2"/>
        <v>3</v>
      </c>
      <c r="S7" s="642" t="str">
        <f t="shared" si="0"/>
        <v>0/8/2021</v>
      </c>
      <c r="T7" s="637">
        <f t="shared" si="3"/>
        <v>4</v>
      </c>
      <c r="U7" s="638">
        <v>30</v>
      </c>
    </row>
    <row r="8" spans="1:27">
      <c r="A8" s="630">
        <f>IFERROR(IF(A7=التوصية!$D$280,"",'جدول السداد'!A7+1),"")</f>
        <v>4</v>
      </c>
      <c r="B8" s="627">
        <f t="shared" si="4"/>
        <v>2021</v>
      </c>
      <c r="C8" s="621" t="str">
        <f t="shared" si="5"/>
        <v>/</v>
      </c>
      <c r="D8" s="621">
        <f t="shared" si="6"/>
        <v>8</v>
      </c>
      <c r="E8" s="621" t="str">
        <f t="shared" si="7"/>
        <v>/</v>
      </c>
      <c r="F8" s="628">
        <f t="shared" si="8"/>
        <v>0</v>
      </c>
      <c r="G8" s="622">
        <f>IF(AND(FC=USD,OR(التوصية!$B$248='بيانات للادخال'!$F$2,التوصية!$B$248='بيانات للادخال'!$F$3)),ROUNDUP(الحاسبة!BF12,0),IF(AND(FC=USD,التوصية!$B$248='بيانات للادخال'!$F$4),ROUND(الحاسبة!BF12,2),IF(AND(FC=ILS,OR(التوصية!$B$248='بيانات للادخال'!$F$2,التوصية!$B$248='بيانات للادخال'!$F$3)),ROUNDUP(الحاسبة!BF12*usdrate,0),IF(AND(FC=ILS,التوصية!$B$248='بيانات للادخال'!$F$4),ROUND(الحاسبة!BF12*usdrate,2),IF(AND(FC=EUR,OR(التوصية!$B$248='بيانات للادخال'!$F$2,التوصية!$B$248='بيانات للادخال'!$F$3)),ROUNDUP(الحاسبة!BF12/eurrate,0),IF(AND(FC=EUR,التوصية!$B$248='بيانات للادخال'!$F$4),ROUND(الحاسبة!BF12/eurrate,2),0))))))</f>
        <v>200</v>
      </c>
      <c r="H8" s="624"/>
      <c r="I8" s="630">
        <f>IFERROR(IF(I7=التوصية!$D$280,"",'جدول السداد'!I7+1),"")</f>
        <v>34</v>
      </c>
      <c r="J8" s="627">
        <f t="shared" si="9"/>
        <v>2024</v>
      </c>
      <c r="K8" s="621" t="str">
        <f t="shared" si="1"/>
        <v>/</v>
      </c>
      <c r="L8" s="621">
        <f t="shared" si="10"/>
        <v>2</v>
      </c>
      <c r="M8" s="621" t="str">
        <f t="shared" si="11"/>
        <v>/</v>
      </c>
      <c r="N8" s="628">
        <f t="shared" si="12"/>
        <v>0</v>
      </c>
      <c r="O8" s="622">
        <f>IF(AND(FC=USD,OR(التوصية!$B$248='بيانات للادخال'!$F$2,التوصية!$B$248='بيانات للادخال'!$F$3)),ROUNDUP(الحاسبة!BF42,0),IF(AND(FC=USD,التوصية!$B$248='بيانات للادخال'!$F$4),ROUND(الحاسبة!BF42,2),IF(AND(FC=ILS,OR(التوصية!$B$248='بيانات للادخال'!$F$2,التوصية!$B$248='بيانات للادخال'!$F$3)),ROUNDUP(الحاسبة!BF42*usdrate,0),IF(AND(FC=ILS,التوصية!$B$248='بيانات للادخال'!$F$4),ROUND(الحاسبة!BF42*usdrate,2),IF(AND(FC=EUR,OR(التوصية!$B$248='بيانات للادخال'!$F$2,التوصية!$B$248='بيانات للادخال'!$F$3)),ROUNDUP(الحاسبة!BF42/eurrate,0),IF(AND(FC=EUR,التوصية!$B$248='بيانات للادخال'!$F$4),ROUND(الحاسبة!BF42/eurrate,2),0))))))</f>
        <v>200</v>
      </c>
      <c r="R8" s="383">
        <f t="shared" si="2"/>
        <v>4</v>
      </c>
      <c r="S8" s="642" t="str">
        <f t="shared" si="0"/>
        <v>0/9/2021</v>
      </c>
      <c r="T8" s="637">
        <f t="shared" si="3"/>
        <v>5</v>
      </c>
      <c r="U8" s="638">
        <v>31</v>
      </c>
    </row>
    <row r="9" spans="1:27">
      <c r="A9" s="630">
        <f>IFERROR(IF(A8=التوصية!$D$280,"",'جدول السداد'!A8+1),"")</f>
        <v>5</v>
      </c>
      <c r="B9" s="627">
        <f t="shared" si="4"/>
        <v>2021</v>
      </c>
      <c r="C9" s="621" t="str">
        <f t="shared" si="5"/>
        <v>/</v>
      </c>
      <c r="D9" s="621">
        <f t="shared" si="6"/>
        <v>9</v>
      </c>
      <c r="E9" s="621" t="str">
        <f t="shared" si="7"/>
        <v>/</v>
      </c>
      <c r="F9" s="628">
        <f t="shared" si="8"/>
        <v>0</v>
      </c>
      <c r="G9" s="622">
        <f>IF(AND(FC=USD,OR(التوصية!$B$248='بيانات للادخال'!$F$2,التوصية!$B$248='بيانات للادخال'!$F$3)),ROUNDUP(الحاسبة!BF13,0),IF(AND(FC=USD,التوصية!$B$248='بيانات للادخال'!$F$4),ROUND(الحاسبة!BF13,2),IF(AND(FC=ILS,OR(التوصية!$B$248='بيانات للادخال'!$F$2,التوصية!$B$248='بيانات للادخال'!$F$3)),ROUNDUP(الحاسبة!BF13*usdrate,0),IF(AND(FC=ILS,التوصية!$B$248='بيانات للادخال'!$F$4),ROUND(الحاسبة!BF13*usdrate,2),IF(AND(FC=EUR,OR(التوصية!$B$248='بيانات للادخال'!$F$2,التوصية!$B$248='بيانات للادخال'!$F$3)),ROUNDUP(الحاسبة!BF13/eurrate,0),IF(AND(FC=EUR,التوصية!$B$248='بيانات للادخال'!$F$4),ROUND(الحاسبة!BF13/eurrate,2),0))))))</f>
        <v>200</v>
      </c>
      <c r="H9" s="624"/>
      <c r="I9" s="630">
        <f>IFERROR(IF(I8=التوصية!$D$280,"",'جدول السداد'!I8+1),"")</f>
        <v>35</v>
      </c>
      <c r="J9" s="627">
        <f t="shared" si="9"/>
        <v>2024</v>
      </c>
      <c r="K9" s="621" t="str">
        <f t="shared" si="1"/>
        <v>/</v>
      </c>
      <c r="L9" s="621">
        <f t="shared" si="10"/>
        <v>3</v>
      </c>
      <c r="M9" s="621" t="str">
        <f t="shared" si="11"/>
        <v>/</v>
      </c>
      <c r="N9" s="628">
        <f t="shared" si="12"/>
        <v>0</v>
      </c>
      <c r="O9" s="622">
        <f>IF(AND(FC=USD,OR(التوصية!$B$248='بيانات للادخال'!$F$2,التوصية!$B$248='بيانات للادخال'!$F$3)),ROUNDUP(الحاسبة!BF43,0),IF(AND(FC=USD,التوصية!$B$248='بيانات للادخال'!$F$4),ROUND(الحاسبة!BF43,2),IF(AND(FC=ILS,OR(التوصية!$B$248='بيانات للادخال'!$F$2,التوصية!$B$248='بيانات للادخال'!$F$3)),ROUNDUP(الحاسبة!BF43*usdrate,0),IF(AND(FC=ILS,التوصية!$B$248='بيانات للادخال'!$F$4),ROUND(الحاسبة!BF43*usdrate,2),IF(AND(FC=EUR,OR(التوصية!$B$248='بيانات للادخال'!$F$2,التوصية!$B$248='بيانات للادخال'!$F$3)),ROUNDUP(الحاسبة!BF43/eurrate,0),IF(AND(FC=EUR,التوصية!$B$248='بيانات للادخال'!$F$4),ROUND(الحاسبة!BF43/eurrate,2),0))))))</f>
        <v>200</v>
      </c>
      <c r="R9" s="383">
        <f t="shared" si="2"/>
        <v>5</v>
      </c>
      <c r="S9" s="642" t="str">
        <f t="shared" si="0"/>
        <v>0/10/2021</v>
      </c>
      <c r="T9" s="637">
        <f t="shared" si="3"/>
        <v>6</v>
      </c>
      <c r="U9" s="638">
        <v>30</v>
      </c>
    </row>
    <row r="10" spans="1:27">
      <c r="A10" s="630">
        <f>IFERROR(IF(A9=التوصية!$D$280,"",'جدول السداد'!A9+1),"")</f>
        <v>6</v>
      </c>
      <c r="B10" s="627">
        <f t="shared" si="4"/>
        <v>2021</v>
      </c>
      <c r="C10" s="621" t="str">
        <f t="shared" si="5"/>
        <v>/</v>
      </c>
      <c r="D10" s="621">
        <f t="shared" si="6"/>
        <v>10</v>
      </c>
      <c r="E10" s="621" t="str">
        <f t="shared" si="7"/>
        <v>/</v>
      </c>
      <c r="F10" s="628">
        <f t="shared" si="8"/>
        <v>0</v>
      </c>
      <c r="G10" s="622">
        <f>IF(AND(FC=USD,OR(التوصية!$B$248='بيانات للادخال'!$F$2,التوصية!$B$248='بيانات للادخال'!$F$3)),ROUNDUP(الحاسبة!BF14,0),IF(AND(FC=USD,التوصية!$B$248='بيانات للادخال'!$F$4),ROUND(الحاسبة!BF14,2),IF(AND(FC=ILS,OR(التوصية!$B$248='بيانات للادخال'!$F$2,التوصية!$B$248='بيانات للادخال'!$F$3)),ROUNDUP(الحاسبة!BF14*usdrate,0),IF(AND(FC=ILS,التوصية!$B$248='بيانات للادخال'!$F$4),ROUND(الحاسبة!BF14*usdrate,2),IF(AND(FC=EUR,OR(التوصية!$B$248='بيانات للادخال'!$F$2,التوصية!$B$248='بيانات للادخال'!$F$3)),ROUNDUP(الحاسبة!BF14/eurrate,0),IF(AND(FC=EUR,التوصية!$B$248='بيانات للادخال'!$F$4),ROUND(الحاسبة!BF14/eurrate,2),0))))))</f>
        <v>200</v>
      </c>
      <c r="H10" s="624"/>
      <c r="I10" s="630">
        <f>IFERROR(IF(I9=التوصية!$D$280,"",'جدول السداد'!I9+1),"")</f>
        <v>36</v>
      </c>
      <c r="J10" s="627">
        <f t="shared" si="9"/>
        <v>2024</v>
      </c>
      <c r="K10" s="621" t="str">
        <f t="shared" si="1"/>
        <v>/</v>
      </c>
      <c r="L10" s="621">
        <f t="shared" si="10"/>
        <v>4</v>
      </c>
      <c r="M10" s="621" t="str">
        <f t="shared" si="11"/>
        <v>/</v>
      </c>
      <c r="N10" s="628">
        <f t="shared" si="12"/>
        <v>0</v>
      </c>
      <c r="O10" s="622">
        <f>IF(AND(FC=USD,OR(التوصية!$B$248='بيانات للادخال'!$F$2,التوصية!$B$248='بيانات للادخال'!$F$3)),ROUNDUP(الحاسبة!BF44,0),IF(AND(FC=USD,التوصية!$B$248='بيانات للادخال'!$F$4),ROUND(الحاسبة!BF44,2),IF(AND(FC=ILS,OR(التوصية!$B$248='بيانات للادخال'!$F$2,التوصية!$B$248='بيانات للادخال'!$F$3)),ROUNDUP(الحاسبة!BF44*usdrate,0),IF(AND(FC=ILS,التوصية!$B$248='بيانات للادخال'!$F$4),ROUND(الحاسبة!BF44*usdrate,2),IF(AND(FC=EUR,OR(التوصية!$B$248='بيانات للادخال'!$F$2,التوصية!$B$248='بيانات للادخال'!$F$3)),ROUNDUP(الحاسبة!BF44/eurrate,0),IF(AND(FC=EUR,التوصية!$B$248='بيانات للادخال'!$F$4),ROUND(الحاسبة!BF44/eurrate,2),0))))))</f>
        <v>200</v>
      </c>
      <c r="R10" s="383">
        <f t="shared" si="2"/>
        <v>6</v>
      </c>
      <c r="S10" s="642" t="str">
        <f t="shared" si="0"/>
        <v>0/11/2021</v>
      </c>
      <c r="T10" s="637">
        <f t="shared" si="3"/>
        <v>7</v>
      </c>
      <c r="U10" s="638">
        <v>31</v>
      </c>
    </row>
    <row r="11" spans="1:27">
      <c r="A11" s="630">
        <f>IFERROR(IF(A10=التوصية!$D$280,"",'جدول السداد'!A10+1),"")</f>
        <v>7</v>
      </c>
      <c r="B11" s="627">
        <f t="shared" si="4"/>
        <v>2021</v>
      </c>
      <c r="C11" s="621" t="str">
        <f t="shared" si="5"/>
        <v>/</v>
      </c>
      <c r="D11" s="621">
        <f t="shared" si="6"/>
        <v>11</v>
      </c>
      <c r="E11" s="621" t="str">
        <f t="shared" si="7"/>
        <v>/</v>
      </c>
      <c r="F11" s="628">
        <f t="shared" si="8"/>
        <v>0</v>
      </c>
      <c r="G11" s="622">
        <f>IF(AND(FC=USD,OR(التوصية!$B$248='بيانات للادخال'!$F$2,التوصية!$B$248='بيانات للادخال'!$F$3)),ROUNDUP(الحاسبة!BF15,0),IF(AND(FC=USD,التوصية!$B$248='بيانات للادخال'!$F$4),ROUND(الحاسبة!BF15,2),IF(AND(FC=ILS,OR(التوصية!$B$248='بيانات للادخال'!$F$2,التوصية!$B$248='بيانات للادخال'!$F$3)),ROUNDUP(الحاسبة!BF15*usdrate,0),IF(AND(FC=ILS,التوصية!$B$248='بيانات للادخال'!$F$4),ROUND(الحاسبة!BF15*usdrate,2),IF(AND(FC=EUR,OR(التوصية!$B$248='بيانات للادخال'!$F$2,التوصية!$B$248='بيانات للادخال'!$F$3)),ROUNDUP(الحاسبة!BF15/eurrate,0),IF(AND(FC=EUR,التوصية!$B$248='بيانات للادخال'!$F$4),ROUND(الحاسبة!BF15/eurrate,2),0))))))</f>
        <v>200</v>
      </c>
      <c r="H11" s="624"/>
      <c r="I11" s="630">
        <f>IFERROR(IF(I10=التوصية!$D$280,"",'جدول السداد'!I10+1),"")</f>
        <v>37</v>
      </c>
      <c r="J11" s="627">
        <f t="shared" si="9"/>
        <v>2024</v>
      </c>
      <c r="K11" s="621" t="str">
        <f t="shared" si="1"/>
        <v>/</v>
      </c>
      <c r="L11" s="621">
        <f t="shared" si="10"/>
        <v>5</v>
      </c>
      <c r="M11" s="621" t="str">
        <f t="shared" si="11"/>
        <v>/</v>
      </c>
      <c r="N11" s="628">
        <f t="shared" si="12"/>
        <v>0</v>
      </c>
      <c r="O11" s="622">
        <f>IF(AND(FC=USD,OR(التوصية!$B$248='بيانات للادخال'!$F$2,التوصية!$B$248='بيانات للادخال'!$F$3)),ROUNDUP(الحاسبة!BF45,0),IF(AND(FC=USD,التوصية!$B$248='بيانات للادخال'!$F$4),ROUND(الحاسبة!BF45,2),IF(AND(FC=ILS,OR(التوصية!$B$248='بيانات للادخال'!$F$2,التوصية!$B$248='بيانات للادخال'!$F$3)),ROUNDUP(الحاسبة!BF45*usdrate,0),IF(AND(FC=ILS,التوصية!$B$248='بيانات للادخال'!$F$4),ROUND(الحاسبة!BF45*usdrate,2),IF(AND(FC=EUR,OR(التوصية!$B$248='بيانات للادخال'!$F$2,التوصية!$B$248='بيانات للادخال'!$F$3)),ROUNDUP(الحاسبة!BF45/eurrate,0),IF(AND(FC=EUR,التوصية!$B$248='بيانات للادخال'!$F$4),ROUND(الحاسبة!BF45/eurrate,2),0))))))</f>
        <v>200</v>
      </c>
      <c r="R11" s="383">
        <f t="shared" si="2"/>
        <v>7</v>
      </c>
      <c r="S11" s="642" t="str">
        <f t="shared" si="0"/>
        <v>0/12/2021</v>
      </c>
      <c r="T11" s="637">
        <f t="shared" si="3"/>
        <v>8</v>
      </c>
      <c r="U11" s="638">
        <v>31</v>
      </c>
    </row>
    <row r="12" spans="1:27">
      <c r="A12" s="630">
        <f>IFERROR(IF(A11=التوصية!$D$280,"",'جدول السداد'!A11+1),"")</f>
        <v>8</v>
      </c>
      <c r="B12" s="627">
        <f t="shared" si="4"/>
        <v>2021</v>
      </c>
      <c r="C12" s="621" t="str">
        <f t="shared" si="5"/>
        <v>/</v>
      </c>
      <c r="D12" s="621">
        <f t="shared" si="6"/>
        <v>12</v>
      </c>
      <c r="E12" s="621" t="str">
        <f t="shared" si="7"/>
        <v>/</v>
      </c>
      <c r="F12" s="628">
        <f t="shared" si="8"/>
        <v>0</v>
      </c>
      <c r="G12" s="622">
        <f>IF(AND(FC=USD,OR(التوصية!$B$248='بيانات للادخال'!$F$2,التوصية!$B$248='بيانات للادخال'!$F$3)),ROUNDUP(الحاسبة!BF16,0),IF(AND(FC=USD,التوصية!$B$248='بيانات للادخال'!$F$4),ROUND(الحاسبة!BF16,2),IF(AND(FC=ILS,OR(التوصية!$B$248='بيانات للادخال'!$F$2,التوصية!$B$248='بيانات للادخال'!$F$3)),ROUNDUP(الحاسبة!BF16*usdrate,0),IF(AND(FC=ILS,التوصية!$B$248='بيانات للادخال'!$F$4),ROUND(الحاسبة!BF16*usdrate,2),IF(AND(FC=EUR,OR(التوصية!$B$248='بيانات للادخال'!$F$2,التوصية!$B$248='بيانات للادخال'!$F$3)),ROUNDUP(الحاسبة!BF16/eurrate,0),IF(AND(FC=EUR,التوصية!$B$248='بيانات للادخال'!$F$4),ROUND(الحاسبة!BF16/eurrate,2),0))))))</f>
        <v>200</v>
      </c>
      <c r="H12" s="624"/>
      <c r="I12" s="630">
        <f>IFERROR(IF(I11=التوصية!$D$280,"",'جدول السداد'!I11+1),"")</f>
        <v>38</v>
      </c>
      <c r="J12" s="627">
        <f t="shared" si="9"/>
        <v>2024</v>
      </c>
      <c r="K12" s="621" t="str">
        <f t="shared" si="1"/>
        <v>/</v>
      </c>
      <c r="L12" s="621">
        <f t="shared" si="10"/>
        <v>6</v>
      </c>
      <c r="M12" s="621" t="str">
        <f t="shared" si="11"/>
        <v>/</v>
      </c>
      <c r="N12" s="628">
        <f t="shared" si="12"/>
        <v>0</v>
      </c>
      <c r="O12" s="622">
        <f>IF(AND(FC=USD,OR(التوصية!$B$248='بيانات للادخال'!$F$2,التوصية!$B$248='بيانات للادخال'!$F$3)),ROUNDUP(الحاسبة!BF46,0),IF(AND(FC=USD,التوصية!$B$248='بيانات للادخال'!$F$4),ROUND(الحاسبة!BF46,2),IF(AND(FC=ILS,OR(التوصية!$B$248='بيانات للادخال'!$F$2,التوصية!$B$248='بيانات للادخال'!$F$3)),ROUNDUP(الحاسبة!BF46*usdrate,0),IF(AND(FC=ILS,التوصية!$B$248='بيانات للادخال'!$F$4),ROUND(الحاسبة!BF46*usdrate,2),IF(AND(FC=EUR,OR(التوصية!$B$248='بيانات للادخال'!$F$2,التوصية!$B$248='بيانات للادخال'!$F$3)),ROUNDUP(الحاسبة!BF46/eurrate,0),IF(AND(FC=EUR,التوصية!$B$248='بيانات للادخال'!$F$4),ROUND(الحاسبة!BF46/eurrate,2),0))))))</f>
        <v>200</v>
      </c>
      <c r="R12" s="383">
        <f t="shared" si="2"/>
        <v>8</v>
      </c>
      <c r="S12" s="642" t="str">
        <f t="shared" si="0"/>
        <v>0/1/2022</v>
      </c>
      <c r="T12" s="637">
        <f t="shared" si="3"/>
        <v>9</v>
      </c>
      <c r="U12" s="638">
        <v>30</v>
      </c>
    </row>
    <row r="13" spans="1:27">
      <c r="A13" s="630">
        <f>IFERROR(IF(A12=التوصية!$D$280,"",'جدول السداد'!A12+1),"")</f>
        <v>9</v>
      </c>
      <c r="B13" s="627">
        <f t="shared" si="4"/>
        <v>2022</v>
      </c>
      <c r="C13" s="621" t="str">
        <f t="shared" si="5"/>
        <v>/</v>
      </c>
      <c r="D13" s="621">
        <f t="shared" si="6"/>
        <v>1</v>
      </c>
      <c r="E13" s="621" t="str">
        <f t="shared" si="7"/>
        <v>/</v>
      </c>
      <c r="F13" s="628">
        <f t="shared" si="8"/>
        <v>0</v>
      </c>
      <c r="G13" s="622">
        <f>IF(AND(FC=USD,OR(التوصية!$B$248='بيانات للادخال'!$F$2,التوصية!$B$248='بيانات للادخال'!$F$3)),ROUNDUP(الحاسبة!BF17,0),IF(AND(FC=USD,التوصية!$B$248='بيانات للادخال'!$F$4),ROUND(الحاسبة!BF17,2),IF(AND(FC=ILS,OR(التوصية!$B$248='بيانات للادخال'!$F$2,التوصية!$B$248='بيانات للادخال'!$F$3)),ROUNDUP(الحاسبة!BF17*usdrate,0),IF(AND(FC=ILS,التوصية!$B$248='بيانات للادخال'!$F$4),ROUND(الحاسبة!BF17*usdrate,2),IF(AND(FC=EUR,OR(التوصية!$B$248='بيانات للادخال'!$F$2,التوصية!$B$248='بيانات للادخال'!$F$3)),ROUNDUP(الحاسبة!BF17/eurrate,0),IF(AND(FC=EUR,التوصية!$B$248='بيانات للادخال'!$F$4),ROUND(الحاسبة!BF17/eurrate,2),0))))))</f>
        <v>200</v>
      </c>
      <c r="H13" s="624"/>
      <c r="I13" s="630">
        <f>IFERROR(IF(I12=التوصية!$D$280,"",'جدول السداد'!I12+1),"")</f>
        <v>39</v>
      </c>
      <c r="J13" s="627">
        <f t="shared" si="9"/>
        <v>2024</v>
      </c>
      <c r="K13" s="621" t="str">
        <f t="shared" si="1"/>
        <v>/</v>
      </c>
      <c r="L13" s="621">
        <f t="shared" si="10"/>
        <v>7</v>
      </c>
      <c r="M13" s="621" t="str">
        <f t="shared" si="11"/>
        <v>/</v>
      </c>
      <c r="N13" s="628">
        <f t="shared" si="12"/>
        <v>0</v>
      </c>
      <c r="O13" s="622">
        <f>IF(AND(FC=USD,OR(التوصية!$B$248='بيانات للادخال'!$F$2,التوصية!$B$248='بيانات للادخال'!$F$3)),ROUNDUP(الحاسبة!BF47,0),IF(AND(FC=USD,التوصية!$B$248='بيانات للادخال'!$F$4),ROUND(الحاسبة!BF47,2),IF(AND(FC=ILS,OR(التوصية!$B$248='بيانات للادخال'!$F$2,التوصية!$B$248='بيانات للادخال'!$F$3)),ROUNDUP(الحاسبة!BF47*usdrate,0),IF(AND(FC=ILS,التوصية!$B$248='بيانات للادخال'!$F$4),ROUND(الحاسبة!BF47*usdrate,2),IF(AND(FC=EUR,OR(التوصية!$B$248='بيانات للادخال'!$F$2,التوصية!$B$248='بيانات للادخال'!$F$3)),ROUNDUP(الحاسبة!BF47/eurrate,0),IF(AND(FC=EUR,التوصية!$B$248='بيانات للادخال'!$F$4),ROUND(الحاسبة!BF47/eurrate,2),0))))))</f>
        <v>200</v>
      </c>
      <c r="R13" s="383">
        <f t="shared" si="2"/>
        <v>9</v>
      </c>
      <c r="S13" s="642" t="str">
        <f t="shared" si="0"/>
        <v>0/2/2022</v>
      </c>
      <c r="T13" s="637">
        <f t="shared" si="3"/>
        <v>10</v>
      </c>
      <c r="U13" s="638">
        <v>31</v>
      </c>
    </row>
    <row r="14" spans="1:27">
      <c r="A14" s="630">
        <f>IFERROR(IF(A13=التوصية!$D$280,"",'جدول السداد'!A13+1),"")</f>
        <v>10</v>
      </c>
      <c r="B14" s="627">
        <f t="shared" si="4"/>
        <v>2022</v>
      </c>
      <c r="C14" s="621" t="str">
        <f t="shared" si="5"/>
        <v>/</v>
      </c>
      <c r="D14" s="621">
        <f t="shared" si="6"/>
        <v>2</v>
      </c>
      <c r="E14" s="621" t="str">
        <f t="shared" si="7"/>
        <v>/</v>
      </c>
      <c r="F14" s="628">
        <f t="shared" si="8"/>
        <v>0</v>
      </c>
      <c r="G14" s="622">
        <f>IF(AND(FC=USD,OR(التوصية!$B$248='بيانات للادخال'!$F$2,التوصية!$B$248='بيانات للادخال'!$F$3)),ROUNDUP(الحاسبة!BF18,0),IF(AND(FC=USD,التوصية!$B$248='بيانات للادخال'!$F$4),ROUND(الحاسبة!BF18,2),IF(AND(FC=ILS,OR(التوصية!$B$248='بيانات للادخال'!$F$2,التوصية!$B$248='بيانات للادخال'!$F$3)),ROUNDUP(الحاسبة!BF18*usdrate,0),IF(AND(FC=ILS,التوصية!$B$248='بيانات للادخال'!$F$4),ROUND(الحاسبة!BF18*usdrate,2),IF(AND(FC=EUR,OR(التوصية!$B$248='بيانات للادخال'!$F$2,التوصية!$B$248='بيانات للادخال'!$F$3)),ROUNDUP(الحاسبة!BF18/eurrate,0),IF(AND(FC=EUR,التوصية!$B$248='بيانات للادخال'!$F$4),ROUND(الحاسبة!BF18/eurrate,2),0))))))</f>
        <v>200</v>
      </c>
      <c r="H14" s="624"/>
      <c r="I14" s="630">
        <f>IFERROR(IF(I13=التوصية!$D$280,"",'جدول السداد'!I13+1),"")</f>
        <v>40</v>
      </c>
      <c r="J14" s="627">
        <f t="shared" si="9"/>
        <v>2024</v>
      </c>
      <c r="K14" s="621" t="str">
        <f t="shared" si="1"/>
        <v>/</v>
      </c>
      <c r="L14" s="621">
        <f t="shared" si="10"/>
        <v>8</v>
      </c>
      <c r="M14" s="621" t="str">
        <f t="shared" si="11"/>
        <v>/</v>
      </c>
      <c r="N14" s="628">
        <f t="shared" si="12"/>
        <v>0</v>
      </c>
      <c r="O14" s="622">
        <f>IF(AND(FC=USD,OR(التوصية!$B$248='بيانات للادخال'!$F$2,التوصية!$B$248='بيانات للادخال'!$F$3)),ROUNDUP(الحاسبة!BF48,0),IF(AND(FC=USD,التوصية!$B$248='بيانات للادخال'!$F$4),ROUND(الحاسبة!BF48,2),IF(AND(FC=ILS,OR(التوصية!$B$248='بيانات للادخال'!$F$2,التوصية!$B$248='بيانات للادخال'!$F$3)),ROUNDUP(الحاسبة!BF48*usdrate,0),IF(AND(FC=ILS,التوصية!$B$248='بيانات للادخال'!$F$4),ROUND(الحاسبة!BF48*usdrate,2),IF(AND(FC=EUR,OR(التوصية!$B$248='بيانات للادخال'!$F$2,التوصية!$B$248='بيانات للادخال'!$F$3)),ROUNDUP(الحاسبة!BF48/eurrate,0),IF(AND(FC=EUR,التوصية!$B$248='بيانات للادخال'!$F$4),ROUND(الحاسبة!BF48/eurrate,2),0))))))</f>
        <v>200</v>
      </c>
      <c r="R14" s="383">
        <f t="shared" si="2"/>
        <v>10</v>
      </c>
      <c r="S14" s="642" t="str">
        <f t="shared" si="0"/>
        <v>0/3/2022</v>
      </c>
      <c r="T14" s="637">
        <f t="shared" si="3"/>
        <v>11</v>
      </c>
      <c r="U14" s="638">
        <v>30</v>
      </c>
    </row>
    <row r="15" spans="1:27">
      <c r="A15" s="630">
        <f>IFERROR(IF(A14=التوصية!$D$280,"",'جدول السداد'!A14+1),"")</f>
        <v>11</v>
      </c>
      <c r="B15" s="627">
        <f t="shared" si="4"/>
        <v>2022</v>
      </c>
      <c r="C15" s="621" t="str">
        <f t="shared" si="5"/>
        <v>/</v>
      </c>
      <c r="D15" s="621">
        <f t="shared" si="6"/>
        <v>3</v>
      </c>
      <c r="E15" s="621" t="str">
        <f t="shared" si="7"/>
        <v>/</v>
      </c>
      <c r="F15" s="628">
        <f t="shared" si="8"/>
        <v>0</v>
      </c>
      <c r="G15" s="622">
        <f>IF(AND(FC=USD,OR(التوصية!$B$248='بيانات للادخال'!$F$2,التوصية!$B$248='بيانات للادخال'!$F$3)),ROUNDUP(الحاسبة!BF19,0),IF(AND(FC=USD,التوصية!$B$248='بيانات للادخال'!$F$4),ROUND(الحاسبة!BF19,2),IF(AND(FC=ILS,OR(التوصية!$B$248='بيانات للادخال'!$F$2,التوصية!$B$248='بيانات للادخال'!$F$3)),ROUNDUP(الحاسبة!BF19*usdrate,0),IF(AND(FC=ILS,التوصية!$B$248='بيانات للادخال'!$F$4),ROUND(الحاسبة!BF19*usdrate,2),IF(AND(FC=EUR,OR(التوصية!$B$248='بيانات للادخال'!$F$2,التوصية!$B$248='بيانات للادخال'!$F$3)),ROUNDUP(الحاسبة!BF19/eurrate,0),IF(AND(FC=EUR,التوصية!$B$248='بيانات للادخال'!$F$4),ROUND(الحاسبة!BF19/eurrate,2),0))))))</f>
        <v>200</v>
      </c>
      <c r="H15" s="624"/>
      <c r="I15" s="630">
        <f>IFERROR(IF(I14=التوصية!$D$280,"",'جدول السداد'!I14+1),"")</f>
        <v>41</v>
      </c>
      <c r="J15" s="627">
        <f t="shared" si="9"/>
        <v>2024</v>
      </c>
      <c r="K15" s="621" t="str">
        <f t="shared" si="1"/>
        <v>/</v>
      </c>
      <c r="L15" s="621">
        <f t="shared" si="10"/>
        <v>9</v>
      </c>
      <c r="M15" s="621" t="str">
        <f t="shared" si="11"/>
        <v>/</v>
      </c>
      <c r="N15" s="628">
        <f t="shared" si="12"/>
        <v>0</v>
      </c>
      <c r="O15" s="622">
        <f>IF(AND(FC=USD,OR(التوصية!$B$248='بيانات للادخال'!$F$2,التوصية!$B$248='بيانات للادخال'!$F$3)),ROUNDUP(الحاسبة!BF49,0),IF(AND(FC=USD,التوصية!$B$248='بيانات للادخال'!$F$4),ROUND(الحاسبة!BF49,2),IF(AND(FC=ILS,OR(التوصية!$B$248='بيانات للادخال'!$F$2,التوصية!$B$248='بيانات للادخال'!$F$3)),ROUNDUP(الحاسبة!BF49*usdrate,0),IF(AND(FC=ILS,التوصية!$B$248='بيانات للادخال'!$F$4),ROUND(الحاسبة!BF49*usdrate,2),IF(AND(FC=EUR,OR(التوصية!$B$248='بيانات للادخال'!$F$2,التوصية!$B$248='بيانات للادخال'!$F$3)),ROUNDUP(الحاسبة!BF49/eurrate,0),IF(AND(FC=EUR,التوصية!$B$248='بيانات للادخال'!$F$4),ROUND(الحاسبة!BF49/eurrate,2),0))))))</f>
        <v>200</v>
      </c>
      <c r="R15" s="383">
        <f t="shared" si="2"/>
        <v>11</v>
      </c>
      <c r="S15" s="642" t="str">
        <f t="shared" si="0"/>
        <v>0/4/2022</v>
      </c>
      <c r="T15" s="639">
        <f t="shared" si="3"/>
        <v>12</v>
      </c>
      <c r="U15" s="640">
        <v>31</v>
      </c>
    </row>
    <row r="16" spans="1:27">
      <c r="A16" s="630">
        <f>IFERROR(IF(A15=التوصية!$D$280,"",'جدول السداد'!A15+1),"")</f>
        <v>12</v>
      </c>
      <c r="B16" s="627">
        <f t="shared" si="4"/>
        <v>2022</v>
      </c>
      <c r="C16" s="621" t="str">
        <f t="shared" si="5"/>
        <v>/</v>
      </c>
      <c r="D16" s="621">
        <f t="shared" si="6"/>
        <v>4</v>
      </c>
      <c r="E16" s="621" t="str">
        <f t="shared" si="7"/>
        <v>/</v>
      </c>
      <c r="F16" s="628">
        <f t="shared" si="8"/>
        <v>0</v>
      </c>
      <c r="G16" s="622">
        <f>IF(AND(FC=USD,OR(التوصية!$B$248='بيانات للادخال'!$F$2,التوصية!$B$248='بيانات للادخال'!$F$3)),ROUNDUP(الحاسبة!BF20,0),IF(AND(FC=USD,التوصية!$B$248='بيانات للادخال'!$F$4),ROUND(الحاسبة!BF20,2),IF(AND(FC=ILS,OR(التوصية!$B$248='بيانات للادخال'!$F$2,التوصية!$B$248='بيانات للادخال'!$F$3)),ROUNDUP(الحاسبة!BF20*usdrate,0),IF(AND(FC=ILS,التوصية!$B$248='بيانات للادخال'!$F$4),ROUND(الحاسبة!BF20*usdrate,2),IF(AND(FC=EUR,OR(التوصية!$B$248='بيانات للادخال'!$F$2,التوصية!$B$248='بيانات للادخال'!$F$3)),ROUNDUP(الحاسبة!BF20/eurrate,0),IF(AND(FC=EUR,التوصية!$B$248='بيانات للادخال'!$F$4),ROUND(الحاسبة!BF20/eurrate,2),0))))))</f>
        <v>200</v>
      </c>
      <c r="H16" s="624"/>
      <c r="I16" s="630">
        <f>IFERROR(IF(I15=التوصية!$D$280,"",'جدول السداد'!I15+1),"")</f>
        <v>42</v>
      </c>
      <c r="J16" s="627">
        <f t="shared" si="9"/>
        <v>2024</v>
      </c>
      <c r="K16" s="621" t="str">
        <f t="shared" si="1"/>
        <v>/</v>
      </c>
      <c r="L16" s="621">
        <f t="shared" si="10"/>
        <v>10</v>
      </c>
      <c r="M16" s="621" t="str">
        <f t="shared" si="11"/>
        <v>/</v>
      </c>
      <c r="N16" s="628">
        <f t="shared" si="12"/>
        <v>0</v>
      </c>
      <c r="O16" s="622">
        <f>IF(AND(FC=USD,OR(التوصية!$B$248='بيانات للادخال'!$F$2,التوصية!$B$248='بيانات للادخال'!$F$3)),ROUNDUP(الحاسبة!BF50,0),IF(AND(FC=USD,التوصية!$B$248='بيانات للادخال'!$F$4),ROUND(الحاسبة!BF50,2),IF(AND(FC=ILS,OR(التوصية!$B$248='بيانات للادخال'!$F$2,التوصية!$B$248='بيانات للادخال'!$F$3)),ROUNDUP(الحاسبة!BF50*usdrate,0),IF(AND(FC=ILS,التوصية!$B$248='بيانات للادخال'!$F$4),ROUND(الحاسبة!BF50*usdrate,2),IF(AND(FC=EUR,OR(التوصية!$B$248='بيانات للادخال'!$F$2,التوصية!$B$248='بيانات للادخال'!$F$3)),ROUNDUP(الحاسبة!BF50/eurrate,0),IF(AND(FC=EUR,التوصية!$B$248='بيانات للادخال'!$F$4),ROUND(الحاسبة!BF50/eurrate,2),0))))))</f>
        <v>200</v>
      </c>
      <c r="R16" s="383">
        <f t="shared" si="2"/>
        <v>12</v>
      </c>
      <c r="S16" s="642" t="str">
        <f t="shared" si="0"/>
        <v>0/5/2022</v>
      </c>
    </row>
    <row r="17" spans="1:19">
      <c r="A17" s="630">
        <f>IFERROR(IF(A16=التوصية!$D$280,"",'جدول السداد'!A16+1),"")</f>
        <v>13</v>
      </c>
      <c r="B17" s="627">
        <f t="shared" si="4"/>
        <v>2022</v>
      </c>
      <c r="C17" s="621" t="str">
        <f t="shared" si="5"/>
        <v>/</v>
      </c>
      <c r="D17" s="621">
        <f t="shared" si="6"/>
        <v>5</v>
      </c>
      <c r="E17" s="621" t="str">
        <f t="shared" si="7"/>
        <v>/</v>
      </c>
      <c r="F17" s="628">
        <f t="shared" si="8"/>
        <v>0</v>
      </c>
      <c r="G17" s="622">
        <f>IF(AND(FC=USD,OR(التوصية!$B$248='بيانات للادخال'!$F$2,التوصية!$B$248='بيانات للادخال'!$F$3)),ROUNDUP(الحاسبة!BF21,0),IF(AND(FC=USD,التوصية!$B$248='بيانات للادخال'!$F$4),ROUND(الحاسبة!BF21,2),IF(AND(FC=ILS,OR(التوصية!$B$248='بيانات للادخال'!$F$2,التوصية!$B$248='بيانات للادخال'!$F$3)),ROUNDUP(الحاسبة!BF21*usdrate,0),IF(AND(FC=ILS,التوصية!$B$248='بيانات للادخال'!$F$4),ROUND(الحاسبة!BF21*usdrate,2),IF(AND(FC=EUR,OR(التوصية!$B$248='بيانات للادخال'!$F$2,التوصية!$B$248='بيانات للادخال'!$F$3)),ROUNDUP(الحاسبة!BF21/eurrate,0),IF(AND(FC=EUR,التوصية!$B$248='بيانات للادخال'!$F$4),ROUND(الحاسبة!BF21/eurrate,2),0))))))</f>
        <v>200</v>
      </c>
      <c r="H17" s="624"/>
      <c r="I17" s="630">
        <f>IFERROR(IF(I16=التوصية!$D$280,"",'جدول السداد'!I16+1),"")</f>
        <v>43</v>
      </c>
      <c r="J17" s="627">
        <f t="shared" si="9"/>
        <v>2024</v>
      </c>
      <c r="K17" s="621" t="str">
        <f t="shared" si="1"/>
        <v>/</v>
      </c>
      <c r="L17" s="621">
        <f t="shared" si="10"/>
        <v>11</v>
      </c>
      <c r="M17" s="621" t="str">
        <f t="shared" si="11"/>
        <v>/</v>
      </c>
      <c r="N17" s="628">
        <f t="shared" si="12"/>
        <v>0</v>
      </c>
      <c r="O17" s="622">
        <f>IF(AND(FC=USD,OR(التوصية!$B$248='بيانات للادخال'!$F$2,التوصية!$B$248='بيانات للادخال'!$F$3)),ROUNDUP(الحاسبة!BF51,0),IF(AND(FC=USD,التوصية!$B$248='بيانات للادخال'!$F$4),ROUND(الحاسبة!BF51,2),IF(AND(FC=ILS,OR(التوصية!$B$248='بيانات للادخال'!$F$2,التوصية!$B$248='بيانات للادخال'!$F$3)),ROUNDUP(الحاسبة!BF51*usdrate,0),IF(AND(FC=ILS,التوصية!$B$248='بيانات للادخال'!$F$4),ROUND(الحاسبة!BF51*usdrate,2),IF(AND(FC=EUR,OR(التوصية!$B$248='بيانات للادخال'!$F$2,التوصية!$B$248='بيانات للادخال'!$F$3)),ROUNDUP(الحاسبة!BF51/eurrate,0),IF(AND(FC=EUR,التوصية!$B$248='بيانات للادخال'!$F$4),ROUND(الحاسبة!BF51/eurrate,2),0))))))</f>
        <v>200</v>
      </c>
      <c r="R17" s="383">
        <f t="shared" si="2"/>
        <v>13</v>
      </c>
      <c r="S17" s="642" t="str">
        <f t="shared" si="0"/>
        <v>0/6/2022</v>
      </c>
    </row>
    <row r="18" spans="1:19">
      <c r="A18" s="630">
        <f>IFERROR(IF(A17=التوصية!$D$280,"",'جدول السداد'!A17+1),"")</f>
        <v>14</v>
      </c>
      <c r="B18" s="627">
        <f t="shared" si="4"/>
        <v>2022</v>
      </c>
      <c r="C18" s="621" t="str">
        <f t="shared" si="5"/>
        <v>/</v>
      </c>
      <c r="D18" s="621">
        <f t="shared" si="6"/>
        <v>6</v>
      </c>
      <c r="E18" s="621" t="str">
        <f t="shared" si="7"/>
        <v>/</v>
      </c>
      <c r="F18" s="628">
        <f t="shared" si="8"/>
        <v>0</v>
      </c>
      <c r="G18" s="622">
        <f>IF(AND(FC=USD,OR(التوصية!$B$248='بيانات للادخال'!$F$2,التوصية!$B$248='بيانات للادخال'!$F$3)),ROUNDUP(الحاسبة!BF22,0),IF(AND(FC=USD,التوصية!$B$248='بيانات للادخال'!$F$4),ROUND(الحاسبة!BF22,2),IF(AND(FC=ILS,OR(التوصية!$B$248='بيانات للادخال'!$F$2,التوصية!$B$248='بيانات للادخال'!$F$3)),ROUNDUP(الحاسبة!BF22*usdrate,0),IF(AND(FC=ILS,التوصية!$B$248='بيانات للادخال'!$F$4),ROUND(الحاسبة!BF22*usdrate,2),IF(AND(FC=EUR,OR(التوصية!$B$248='بيانات للادخال'!$F$2,التوصية!$B$248='بيانات للادخال'!$F$3)),ROUNDUP(الحاسبة!BF22/eurrate,0),IF(AND(FC=EUR,التوصية!$B$248='بيانات للادخال'!$F$4),ROUND(الحاسبة!BF22/eurrate,2),0))))))</f>
        <v>200</v>
      </c>
      <c r="H18" s="624"/>
      <c r="I18" s="630">
        <f>IFERROR(IF(I17=التوصية!$D$280,"",'جدول السداد'!I17+1),"")</f>
        <v>44</v>
      </c>
      <c r="J18" s="627">
        <f t="shared" si="9"/>
        <v>2024</v>
      </c>
      <c r="K18" s="621" t="str">
        <f t="shared" si="1"/>
        <v>/</v>
      </c>
      <c r="L18" s="621">
        <f t="shared" si="10"/>
        <v>12</v>
      </c>
      <c r="M18" s="621" t="str">
        <f t="shared" si="11"/>
        <v>/</v>
      </c>
      <c r="N18" s="628">
        <f t="shared" si="12"/>
        <v>0</v>
      </c>
      <c r="O18" s="622">
        <f>IF(AND(FC=USD,OR(التوصية!$B$248='بيانات للادخال'!$F$2,التوصية!$B$248='بيانات للادخال'!$F$3)),ROUNDUP(الحاسبة!BF52,0),IF(AND(FC=USD,التوصية!$B$248='بيانات للادخال'!$F$4),ROUND(الحاسبة!BF52,2),IF(AND(FC=ILS,OR(التوصية!$B$248='بيانات للادخال'!$F$2,التوصية!$B$248='بيانات للادخال'!$F$3)),ROUNDUP(الحاسبة!BF52*usdrate,0),IF(AND(FC=ILS,التوصية!$B$248='بيانات للادخال'!$F$4),ROUND(الحاسبة!BF52*usdrate,2),IF(AND(FC=EUR,OR(التوصية!$B$248='بيانات للادخال'!$F$2,التوصية!$B$248='بيانات للادخال'!$F$3)),ROUNDUP(الحاسبة!BF52/eurrate,0),IF(AND(FC=EUR,التوصية!$B$248='بيانات للادخال'!$F$4),ROUND(الحاسبة!BF52/eurrate,2),0))))))</f>
        <v>200</v>
      </c>
      <c r="R18" s="383">
        <f t="shared" si="2"/>
        <v>14</v>
      </c>
      <c r="S18" s="642" t="str">
        <f t="shared" si="0"/>
        <v>0/7/2022</v>
      </c>
    </row>
    <row r="19" spans="1:19">
      <c r="A19" s="630">
        <f>IFERROR(IF(A18=التوصية!$D$280,"",'جدول السداد'!A18+1),"")</f>
        <v>15</v>
      </c>
      <c r="B19" s="627">
        <f t="shared" si="4"/>
        <v>2022</v>
      </c>
      <c r="C19" s="621" t="str">
        <f t="shared" si="5"/>
        <v>/</v>
      </c>
      <c r="D19" s="621">
        <f t="shared" si="6"/>
        <v>7</v>
      </c>
      <c r="E19" s="621" t="str">
        <f t="shared" si="7"/>
        <v>/</v>
      </c>
      <c r="F19" s="628">
        <f t="shared" si="8"/>
        <v>0</v>
      </c>
      <c r="G19" s="622">
        <f>IF(AND(FC=USD,OR(التوصية!$B$248='بيانات للادخال'!$F$2,التوصية!$B$248='بيانات للادخال'!$F$3)),ROUNDUP(الحاسبة!BF23,0),IF(AND(FC=USD,التوصية!$B$248='بيانات للادخال'!$F$4),ROUND(الحاسبة!BF23,2),IF(AND(FC=ILS,OR(التوصية!$B$248='بيانات للادخال'!$F$2,التوصية!$B$248='بيانات للادخال'!$F$3)),ROUNDUP(الحاسبة!BF23*usdrate,0),IF(AND(FC=ILS,التوصية!$B$248='بيانات للادخال'!$F$4),ROUND(الحاسبة!BF23*usdrate,2),IF(AND(FC=EUR,OR(التوصية!$B$248='بيانات للادخال'!$F$2,التوصية!$B$248='بيانات للادخال'!$F$3)),ROUNDUP(الحاسبة!BF23/eurrate,0),IF(AND(FC=EUR,التوصية!$B$248='بيانات للادخال'!$F$4),ROUND(الحاسبة!BF23/eurrate,2),0))))))</f>
        <v>200</v>
      </c>
      <c r="H19" s="624"/>
      <c r="I19" s="630">
        <f>IFERROR(IF(I18=التوصية!$D$280,"",'جدول السداد'!I18+1),"")</f>
        <v>45</v>
      </c>
      <c r="J19" s="627">
        <f t="shared" si="9"/>
        <v>2025</v>
      </c>
      <c r="K19" s="621" t="str">
        <f t="shared" si="1"/>
        <v>/</v>
      </c>
      <c r="L19" s="621">
        <f t="shared" si="10"/>
        <v>1</v>
      </c>
      <c r="M19" s="621" t="str">
        <f t="shared" si="11"/>
        <v>/</v>
      </c>
      <c r="N19" s="628">
        <f t="shared" si="12"/>
        <v>0</v>
      </c>
      <c r="O19" s="622">
        <f>IF(AND(FC=USD,OR(التوصية!$B$248='بيانات للادخال'!$F$2,التوصية!$B$248='بيانات للادخال'!$F$3)),ROUNDUP(الحاسبة!BF53,0),IF(AND(FC=USD,التوصية!$B$248='بيانات للادخال'!$F$4),ROUND(الحاسبة!BF53,2),IF(AND(FC=ILS,OR(التوصية!$B$248='بيانات للادخال'!$F$2,التوصية!$B$248='بيانات للادخال'!$F$3)),ROUNDUP(الحاسبة!BF53*usdrate,0),IF(AND(FC=ILS,التوصية!$B$248='بيانات للادخال'!$F$4),ROUND(الحاسبة!BF53*usdrate,2),IF(AND(FC=EUR,OR(التوصية!$B$248='بيانات للادخال'!$F$2,التوصية!$B$248='بيانات للادخال'!$F$3)),ROUNDUP(الحاسبة!BF53/eurrate,0),IF(AND(FC=EUR,التوصية!$B$248='بيانات للادخال'!$F$4),ROUND(الحاسبة!BF53/eurrate,2),0))))))</f>
        <v>200</v>
      </c>
      <c r="R19" s="383">
        <f t="shared" si="2"/>
        <v>15</v>
      </c>
      <c r="S19" s="642" t="str">
        <f t="shared" si="0"/>
        <v>0/8/2022</v>
      </c>
    </row>
    <row r="20" spans="1:19">
      <c r="A20" s="630">
        <f>IFERROR(IF(A19=التوصية!$D$280,"",'جدول السداد'!A19+1),"")</f>
        <v>16</v>
      </c>
      <c r="B20" s="627">
        <f t="shared" si="4"/>
        <v>2022</v>
      </c>
      <c r="C20" s="621" t="str">
        <f t="shared" si="5"/>
        <v>/</v>
      </c>
      <c r="D20" s="621">
        <f t="shared" si="6"/>
        <v>8</v>
      </c>
      <c r="E20" s="621" t="str">
        <f t="shared" si="7"/>
        <v>/</v>
      </c>
      <c r="F20" s="628">
        <f t="shared" si="8"/>
        <v>0</v>
      </c>
      <c r="G20" s="622">
        <f>IF(AND(FC=USD,OR(التوصية!$B$248='بيانات للادخال'!$F$2,التوصية!$B$248='بيانات للادخال'!$F$3)),ROUNDUP(الحاسبة!BF24,0),IF(AND(FC=USD,التوصية!$B$248='بيانات للادخال'!$F$4),ROUND(الحاسبة!BF24,2),IF(AND(FC=ILS,OR(التوصية!$B$248='بيانات للادخال'!$F$2,التوصية!$B$248='بيانات للادخال'!$F$3)),ROUNDUP(الحاسبة!BF24*usdrate,0),IF(AND(FC=ILS,التوصية!$B$248='بيانات للادخال'!$F$4),ROUND(الحاسبة!BF24*usdrate,2),IF(AND(FC=EUR,OR(التوصية!$B$248='بيانات للادخال'!$F$2,التوصية!$B$248='بيانات للادخال'!$F$3)),ROUNDUP(الحاسبة!BF24/eurrate,0),IF(AND(FC=EUR,التوصية!$B$248='بيانات للادخال'!$F$4),ROUND(الحاسبة!BF24/eurrate,2),0))))))</f>
        <v>200</v>
      </c>
      <c r="H20" s="624"/>
      <c r="I20" s="630">
        <f>IFERROR(IF(I19=التوصية!$D$280,"",'جدول السداد'!I19+1),"")</f>
        <v>46</v>
      </c>
      <c r="J20" s="627">
        <f t="shared" si="9"/>
        <v>2025</v>
      </c>
      <c r="K20" s="621" t="str">
        <f t="shared" si="1"/>
        <v>/</v>
      </c>
      <c r="L20" s="621">
        <f t="shared" si="10"/>
        <v>2</v>
      </c>
      <c r="M20" s="621" t="str">
        <f t="shared" si="11"/>
        <v>/</v>
      </c>
      <c r="N20" s="628">
        <f t="shared" si="12"/>
        <v>0</v>
      </c>
      <c r="O20" s="622">
        <f>IF(AND(FC=USD,OR(التوصية!$B$248='بيانات للادخال'!$F$2,التوصية!$B$248='بيانات للادخال'!$F$3)),ROUNDUP(الحاسبة!BF54,0),IF(AND(FC=USD,التوصية!$B$248='بيانات للادخال'!$F$4),ROUND(الحاسبة!BF54,2),IF(AND(FC=ILS,OR(التوصية!$B$248='بيانات للادخال'!$F$2,التوصية!$B$248='بيانات للادخال'!$F$3)),ROUNDUP(الحاسبة!BF54*usdrate,0),IF(AND(FC=ILS,التوصية!$B$248='بيانات للادخال'!$F$4),ROUND(الحاسبة!BF54*usdrate,2),IF(AND(FC=EUR,OR(التوصية!$B$248='بيانات للادخال'!$F$2,التوصية!$B$248='بيانات للادخال'!$F$3)),ROUNDUP(الحاسبة!BF54/eurrate,0),IF(AND(FC=EUR,التوصية!$B$248='بيانات للادخال'!$F$4),ROUND(الحاسبة!BF54/eurrate,2),0))))))</f>
        <v>200</v>
      </c>
      <c r="R20" s="383">
        <f t="shared" si="2"/>
        <v>16</v>
      </c>
      <c r="S20" s="642" t="str">
        <f t="shared" si="0"/>
        <v>0/9/2022</v>
      </c>
    </row>
    <row r="21" spans="1:19">
      <c r="A21" s="630">
        <f>IFERROR(IF(A20=التوصية!$D$280,"",'جدول السداد'!A20+1),"")</f>
        <v>17</v>
      </c>
      <c r="B21" s="627">
        <f t="shared" si="4"/>
        <v>2022</v>
      </c>
      <c r="C21" s="621" t="str">
        <f t="shared" si="5"/>
        <v>/</v>
      </c>
      <c r="D21" s="621">
        <f t="shared" si="6"/>
        <v>9</v>
      </c>
      <c r="E21" s="621" t="str">
        <f t="shared" si="7"/>
        <v>/</v>
      </c>
      <c r="F21" s="628">
        <f t="shared" si="8"/>
        <v>0</v>
      </c>
      <c r="G21" s="622">
        <f>IF(AND(FC=USD,OR(التوصية!$B$248='بيانات للادخال'!$F$2,التوصية!$B$248='بيانات للادخال'!$F$3)),ROUNDUP(الحاسبة!BF25,0),IF(AND(FC=USD,التوصية!$B$248='بيانات للادخال'!$F$4),ROUND(الحاسبة!BF25,2),IF(AND(FC=ILS,OR(التوصية!$B$248='بيانات للادخال'!$F$2,التوصية!$B$248='بيانات للادخال'!$F$3)),ROUNDUP(الحاسبة!BF25*usdrate,0),IF(AND(FC=ILS,التوصية!$B$248='بيانات للادخال'!$F$4),ROUND(الحاسبة!BF25*usdrate,2),IF(AND(FC=EUR,OR(التوصية!$B$248='بيانات للادخال'!$F$2,التوصية!$B$248='بيانات للادخال'!$F$3)),ROUNDUP(الحاسبة!BF25/eurrate,0),IF(AND(FC=EUR,التوصية!$B$248='بيانات للادخال'!$F$4),ROUND(الحاسبة!BF25/eurrate,2),0))))))</f>
        <v>200</v>
      </c>
      <c r="H21" s="624"/>
      <c r="I21" s="630">
        <f>IFERROR(IF(I20=التوصية!$D$280,"",'جدول السداد'!I20+1),"")</f>
        <v>47</v>
      </c>
      <c r="J21" s="627">
        <f t="shared" si="9"/>
        <v>2025</v>
      </c>
      <c r="K21" s="621" t="str">
        <f t="shared" si="1"/>
        <v>/</v>
      </c>
      <c r="L21" s="621">
        <f t="shared" si="10"/>
        <v>3</v>
      </c>
      <c r="M21" s="621" t="str">
        <f t="shared" si="11"/>
        <v>/</v>
      </c>
      <c r="N21" s="628">
        <f t="shared" si="12"/>
        <v>0</v>
      </c>
      <c r="O21" s="622">
        <f>IF(AND(FC=USD,OR(التوصية!$B$248='بيانات للادخال'!$F$2,التوصية!$B$248='بيانات للادخال'!$F$3)),ROUNDUP(الحاسبة!BF55,0),IF(AND(FC=USD,التوصية!$B$248='بيانات للادخال'!$F$4),ROUND(الحاسبة!BF55,2),IF(AND(FC=ILS,OR(التوصية!$B$248='بيانات للادخال'!$F$2,التوصية!$B$248='بيانات للادخال'!$F$3)),ROUNDUP(الحاسبة!BF55*usdrate,0),IF(AND(FC=ILS,التوصية!$B$248='بيانات للادخال'!$F$4),ROUND(الحاسبة!BF55*usdrate,2),IF(AND(FC=EUR,OR(التوصية!$B$248='بيانات للادخال'!$F$2,التوصية!$B$248='بيانات للادخال'!$F$3)),ROUNDUP(الحاسبة!BF55/eurrate,0),IF(AND(FC=EUR,التوصية!$B$248='بيانات للادخال'!$F$4),ROUND(الحاسبة!BF55/eurrate,2),0))))))</f>
        <v>200</v>
      </c>
      <c r="R21" s="383">
        <f t="shared" si="2"/>
        <v>17</v>
      </c>
      <c r="S21" s="642" t="str">
        <f t="shared" si="0"/>
        <v>0/10/2022</v>
      </c>
    </row>
    <row r="22" spans="1:19">
      <c r="A22" s="630">
        <f>IFERROR(IF(A21=التوصية!$D$280,"",'جدول السداد'!A21+1),"")</f>
        <v>18</v>
      </c>
      <c r="B22" s="627">
        <f t="shared" si="4"/>
        <v>2022</v>
      </c>
      <c r="C22" s="621" t="str">
        <f t="shared" si="5"/>
        <v>/</v>
      </c>
      <c r="D22" s="621">
        <f t="shared" si="6"/>
        <v>10</v>
      </c>
      <c r="E22" s="621" t="str">
        <f t="shared" si="7"/>
        <v>/</v>
      </c>
      <c r="F22" s="628">
        <f t="shared" si="8"/>
        <v>0</v>
      </c>
      <c r="G22" s="622">
        <f>IF(AND(FC=USD,OR(التوصية!$B$248='بيانات للادخال'!$F$2,التوصية!$B$248='بيانات للادخال'!$F$3)),ROUNDUP(الحاسبة!BF26,0),IF(AND(FC=USD,التوصية!$B$248='بيانات للادخال'!$F$4),ROUND(الحاسبة!BF26,2),IF(AND(FC=ILS,OR(التوصية!$B$248='بيانات للادخال'!$F$2,التوصية!$B$248='بيانات للادخال'!$F$3)),ROUNDUP(الحاسبة!BF26*usdrate,0),IF(AND(FC=ILS,التوصية!$B$248='بيانات للادخال'!$F$4),ROUND(الحاسبة!BF26*usdrate,2),IF(AND(FC=EUR,OR(التوصية!$B$248='بيانات للادخال'!$F$2,التوصية!$B$248='بيانات للادخال'!$F$3)),ROUNDUP(الحاسبة!BF26/eurrate,0),IF(AND(FC=EUR,التوصية!$B$248='بيانات للادخال'!$F$4),ROUND(الحاسبة!BF26/eurrate,2),0))))))</f>
        <v>200</v>
      </c>
      <c r="H22" s="624"/>
      <c r="I22" s="630">
        <f>IFERROR(IF(I21=التوصية!$D$280,"",'جدول السداد'!I21+1),"")</f>
        <v>48</v>
      </c>
      <c r="J22" s="627">
        <f t="shared" si="9"/>
        <v>2025</v>
      </c>
      <c r="K22" s="621" t="str">
        <f t="shared" si="1"/>
        <v>/</v>
      </c>
      <c r="L22" s="621">
        <f t="shared" si="10"/>
        <v>4</v>
      </c>
      <c r="M22" s="621" t="str">
        <f t="shared" si="11"/>
        <v>/</v>
      </c>
      <c r="N22" s="628">
        <f t="shared" si="12"/>
        <v>0</v>
      </c>
      <c r="O22" s="622">
        <f>IF(AND(FC=USD,OR(التوصية!$B$248='بيانات للادخال'!$F$2,التوصية!$B$248='بيانات للادخال'!$F$3)),ROUNDUP(الحاسبة!BF56,0),IF(AND(FC=USD,التوصية!$B$248='بيانات للادخال'!$F$4),ROUND(الحاسبة!BF56,2),IF(AND(FC=ILS,OR(التوصية!$B$248='بيانات للادخال'!$F$2,التوصية!$B$248='بيانات للادخال'!$F$3)),ROUNDUP(الحاسبة!BF56*usdrate,0),IF(AND(FC=ILS,التوصية!$B$248='بيانات للادخال'!$F$4),ROUND(الحاسبة!BF56*usdrate,2),IF(AND(FC=EUR,OR(التوصية!$B$248='بيانات للادخال'!$F$2,التوصية!$B$248='بيانات للادخال'!$F$3)),ROUNDUP(الحاسبة!BF56/eurrate,0),IF(AND(FC=EUR,التوصية!$B$248='بيانات للادخال'!$F$4),ROUND(الحاسبة!BF56/eurrate,2),0))))))</f>
        <v>200</v>
      </c>
      <c r="R22" s="383">
        <f t="shared" si="2"/>
        <v>18</v>
      </c>
      <c r="S22" s="642" t="str">
        <f t="shared" si="0"/>
        <v>0/11/2022</v>
      </c>
    </row>
    <row r="23" spans="1:19">
      <c r="A23" s="630">
        <f>IFERROR(IF(A22=التوصية!$D$280,"",'جدول السداد'!A22+1),"")</f>
        <v>19</v>
      </c>
      <c r="B23" s="627">
        <f t="shared" si="4"/>
        <v>2022</v>
      </c>
      <c r="C23" s="621" t="str">
        <f t="shared" si="5"/>
        <v>/</v>
      </c>
      <c r="D23" s="621">
        <f t="shared" si="6"/>
        <v>11</v>
      </c>
      <c r="E23" s="621" t="str">
        <f t="shared" si="7"/>
        <v>/</v>
      </c>
      <c r="F23" s="628">
        <f t="shared" si="8"/>
        <v>0</v>
      </c>
      <c r="G23" s="622">
        <f>IF(AND(FC=USD,OR(التوصية!$B$248='بيانات للادخال'!$F$2,التوصية!$B$248='بيانات للادخال'!$F$3)),ROUNDUP(الحاسبة!BF27,0),IF(AND(FC=USD,التوصية!$B$248='بيانات للادخال'!$F$4),ROUND(الحاسبة!BF27,2),IF(AND(FC=ILS,OR(التوصية!$B$248='بيانات للادخال'!$F$2,التوصية!$B$248='بيانات للادخال'!$F$3)),ROUNDUP(الحاسبة!BF27*usdrate,0),IF(AND(FC=ILS,التوصية!$B$248='بيانات للادخال'!$F$4),ROUND(الحاسبة!BF27*usdrate,2),IF(AND(FC=EUR,OR(التوصية!$B$248='بيانات للادخال'!$F$2,التوصية!$B$248='بيانات للادخال'!$F$3)),ROUNDUP(الحاسبة!BF27/eurrate,0),IF(AND(FC=EUR,التوصية!$B$248='بيانات للادخال'!$F$4),ROUND(الحاسبة!BF27/eurrate,2),0))))))</f>
        <v>200</v>
      </c>
      <c r="H23" s="624"/>
      <c r="I23" s="630" t="str">
        <f>IFERROR(IF(I22=التوصية!$D$280,"",'جدول السداد'!I22+1),"")</f>
        <v/>
      </c>
      <c r="J23" s="627" t="str">
        <f t="shared" si="9"/>
        <v/>
      </c>
      <c r="K23" s="621" t="str">
        <f t="shared" si="1"/>
        <v/>
      </c>
      <c r="L23" s="621" t="str">
        <f t="shared" si="10"/>
        <v/>
      </c>
      <c r="M23" s="621" t="str">
        <f t="shared" si="11"/>
        <v/>
      </c>
      <c r="N23" s="628" t="str">
        <f t="shared" si="12"/>
        <v/>
      </c>
      <c r="O23" s="622">
        <f>IF(AND(FC=USD,OR(التوصية!$B$248='بيانات للادخال'!$F$2,التوصية!$B$248='بيانات للادخال'!$F$3)),ROUNDUP(الحاسبة!BF57,0),IF(AND(FC=USD,التوصية!$B$248='بيانات للادخال'!$F$4),ROUND(الحاسبة!BF57,2),IF(AND(FC=ILS,OR(التوصية!$B$248='بيانات للادخال'!$F$2,التوصية!$B$248='بيانات للادخال'!$F$3)),ROUNDUP(الحاسبة!BF57*usdrate,0),IF(AND(FC=ILS,التوصية!$B$248='بيانات للادخال'!$F$4),ROUND(الحاسبة!BF57*usdrate,2),IF(AND(FC=EUR,OR(التوصية!$B$248='بيانات للادخال'!$F$2,التوصية!$B$248='بيانات للادخال'!$F$3)),ROUNDUP(الحاسبة!BF57/eurrate,0),IF(AND(FC=EUR,التوصية!$B$248='بيانات للادخال'!$F$4),ROUND(الحاسبة!BF57/eurrate,2),0))))))</f>
        <v>0</v>
      </c>
      <c r="R23" s="383">
        <f t="shared" si="2"/>
        <v>19</v>
      </c>
      <c r="S23" s="642" t="str">
        <f t="shared" si="0"/>
        <v>0/12/2022</v>
      </c>
    </row>
    <row r="24" spans="1:19">
      <c r="A24" s="630">
        <f>IFERROR(IF(A23=التوصية!$D$280,"",'جدول السداد'!A23+1),"")</f>
        <v>20</v>
      </c>
      <c r="B24" s="627">
        <f t="shared" si="4"/>
        <v>2022</v>
      </c>
      <c r="C24" s="621" t="str">
        <f t="shared" si="5"/>
        <v>/</v>
      </c>
      <c r="D24" s="621">
        <f t="shared" si="6"/>
        <v>12</v>
      </c>
      <c r="E24" s="621" t="str">
        <f t="shared" si="7"/>
        <v>/</v>
      </c>
      <c r="F24" s="628">
        <f t="shared" si="8"/>
        <v>0</v>
      </c>
      <c r="G24" s="622">
        <f>IF(AND(FC=USD,OR(التوصية!$B$248='بيانات للادخال'!$F$2,التوصية!$B$248='بيانات للادخال'!$F$3)),ROUNDUP(الحاسبة!BF28,0),IF(AND(FC=USD,التوصية!$B$248='بيانات للادخال'!$F$4),ROUND(الحاسبة!BF28,2),IF(AND(FC=ILS,OR(التوصية!$B$248='بيانات للادخال'!$F$2,التوصية!$B$248='بيانات للادخال'!$F$3)),ROUNDUP(الحاسبة!BF28*usdrate,0),IF(AND(FC=ILS,التوصية!$B$248='بيانات للادخال'!$F$4),ROUND(الحاسبة!BF28*usdrate,2),IF(AND(FC=EUR,OR(التوصية!$B$248='بيانات للادخال'!$F$2,التوصية!$B$248='بيانات للادخال'!$F$3)),ROUNDUP(الحاسبة!BF28/eurrate,0),IF(AND(FC=EUR,التوصية!$B$248='بيانات للادخال'!$F$4),ROUND(الحاسبة!BF28/eurrate,2),0))))))</f>
        <v>200</v>
      </c>
      <c r="H24" s="318"/>
      <c r="I24" s="630" t="str">
        <f>IFERROR(IF(I23=التوصية!$D$280,"",'جدول السداد'!I23+1),"")</f>
        <v/>
      </c>
      <c r="J24" s="627" t="str">
        <f t="shared" si="9"/>
        <v/>
      </c>
      <c r="K24" s="621" t="str">
        <f t="shared" si="1"/>
        <v/>
      </c>
      <c r="L24" s="621" t="str">
        <f t="shared" si="10"/>
        <v/>
      </c>
      <c r="M24" s="621" t="str">
        <f t="shared" si="11"/>
        <v/>
      </c>
      <c r="N24" s="628" t="str">
        <f t="shared" si="12"/>
        <v/>
      </c>
      <c r="O24" s="622">
        <f>IF(AND(FC=USD,OR(التوصية!$B$248='بيانات للادخال'!$F$2,التوصية!$B$248='بيانات للادخال'!$F$3)),ROUNDUP(الحاسبة!BF58,0),IF(AND(FC=USD,التوصية!$B$248='بيانات للادخال'!$F$4),ROUND(الحاسبة!BF58,2),IF(AND(FC=ILS,OR(التوصية!$B$248='بيانات للادخال'!$F$2,التوصية!$B$248='بيانات للادخال'!$F$3)),ROUNDUP(الحاسبة!BF58*usdrate,0),IF(AND(FC=ILS,التوصية!$B$248='بيانات للادخال'!$F$4),ROUND(الحاسبة!BF58*usdrate,2),IF(AND(FC=EUR,OR(التوصية!$B$248='بيانات للادخال'!$F$2,التوصية!$B$248='بيانات للادخال'!$F$3)),ROUNDUP(الحاسبة!BF58/eurrate,0),IF(AND(FC=EUR,التوصية!$B$248='بيانات للادخال'!$F$4),ROUND(الحاسبة!BF58/eurrate,2),0))))))</f>
        <v>0</v>
      </c>
      <c r="R24" s="383">
        <f t="shared" si="2"/>
        <v>20</v>
      </c>
      <c r="S24" s="642" t="str">
        <f t="shared" si="0"/>
        <v>0/1/2023</v>
      </c>
    </row>
    <row r="25" spans="1:19">
      <c r="A25" s="630">
        <f>IFERROR(IF(A24=التوصية!$D$280,"",'جدول السداد'!A24+1),"")</f>
        <v>21</v>
      </c>
      <c r="B25" s="627">
        <f t="shared" si="4"/>
        <v>2023</v>
      </c>
      <c r="C25" s="621" t="str">
        <f t="shared" si="5"/>
        <v>/</v>
      </c>
      <c r="D25" s="621">
        <f t="shared" si="6"/>
        <v>1</v>
      </c>
      <c r="E25" s="621" t="str">
        <f t="shared" si="7"/>
        <v>/</v>
      </c>
      <c r="F25" s="628">
        <f t="shared" si="8"/>
        <v>0</v>
      </c>
      <c r="G25" s="622">
        <f>IF(AND(FC=USD,OR(التوصية!$B$248='بيانات للادخال'!$F$2,التوصية!$B$248='بيانات للادخال'!$F$3)),ROUNDUP(الحاسبة!BF29,0),IF(AND(FC=USD,التوصية!$B$248='بيانات للادخال'!$F$4),ROUND(الحاسبة!BF29,2),IF(AND(FC=ILS,OR(التوصية!$B$248='بيانات للادخال'!$F$2,التوصية!$B$248='بيانات للادخال'!$F$3)),ROUNDUP(الحاسبة!BF29*usdrate,0),IF(AND(FC=ILS,التوصية!$B$248='بيانات للادخال'!$F$4),ROUND(الحاسبة!BF29*usdrate,2),IF(AND(FC=EUR,OR(التوصية!$B$248='بيانات للادخال'!$F$2,التوصية!$B$248='بيانات للادخال'!$F$3)),ROUNDUP(الحاسبة!BF29/eurrate,0),IF(AND(FC=EUR,التوصية!$B$248='بيانات للادخال'!$F$4),ROUND(الحاسبة!BF29/eurrate,2),0))))))</f>
        <v>200</v>
      </c>
      <c r="H25" s="318"/>
      <c r="I25" s="630" t="str">
        <f>IFERROR(IF(I24=التوصية!$D$280,"",'جدول السداد'!I24+1),"")</f>
        <v/>
      </c>
      <c r="J25" s="627" t="str">
        <f t="shared" si="9"/>
        <v/>
      </c>
      <c r="K25" s="621" t="str">
        <f t="shared" si="1"/>
        <v/>
      </c>
      <c r="L25" s="621" t="str">
        <f t="shared" si="10"/>
        <v/>
      </c>
      <c r="M25" s="621" t="str">
        <f t="shared" si="11"/>
        <v/>
      </c>
      <c r="N25" s="628" t="str">
        <f t="shared" si="12"/>
        <v/>
      </c>
      <c r="O25" s="622">
        <f>IF(AND(FC=USD,OR(التوصية!$B$248='بيانات للادخال'!$F$2,التوصية!$B$248='بيانات للادخال'!$F$3)),ROUNDUP(الحاسبة!BF59,0),IF(AND(FC=USD,التوصية!$B$248='بيانات للادخال'!$F$4),ROUND(الحاسبة!BF59,2),IF(AND(FC=ILS,OR(التوصية!$B$248='بيانات للادخال'!$F$2,التوصية!$B$248='بيانات للادخال'!$F$3)),ROUNDUP(الحاسبة!BF59*usdrate,0),IF(AND(FC=ILS,التوصية!$B$248='بيانات للادخال'!$F$4),ROUND(الحاسبة!BF59*usdrate,2),IF(AND(FC=EUR,OR(التوصية!$B$248='بيانات للادخال'!$F$2,التوصية!$B$248='بيانات للادخال'!$F$3)),ROUNDUP(الحاسبة!BF59/eurrate,0),IF(AND(FC=EUR,التوصية!$B$248='بيانات للادخال'!$F$4),ROUND(الحاسبة!BF59/eurrate,2),0))))))</f>
        <v>0</v>
      </c>
      <c r="R25" s="383">
        <f t="shared" si="2"/>
        <v>21</v>
      </c>
      <c r="S25" s="642" t="str">
        <f t="shared" si="0"/>
        <v>0/2/2023</v>
      </c>
    </row>
    <row r="26" spans="1:19">
      <c r="A26" s="630">
        <f>IFERROR(IF(A25=التوصية!$D$280,"",'جدول السداد'!A25+1),"")</f>
        <v>22</v>
      </c>
      <c r="B26" s="627">
        <f t="shared" si="4"/>
        <v>2023</v>
      </c>
      <c r="C26" s="621" t="str">
        <f t="shared" si="5"/>
        <v>/</v>
      </c>
      <c r="D26" s="621">
        <f t="shared" si="6"/>
        <v>2</v>
      </c>
      <c r="E26" s="621" t="str">
        <f t="shared" si="7"/>
        <v>/</v>
      </c>
      <c r="F26" s="628">
        <f t="shared" si="8"/>
        <v>0</v>
      </c>
      <c r="G26" s="622">
        <f>IF(AND(FC=USD,OR(التوصية!$B$248='بيانات للادخال'!$F$2,التوصية!$B$248='بيانات للادخال'!$F$3)),ROUNDUP(الحاسبة!BF30,0),IF(AND(FC=USD,التوصية!$B$248='بيانات للادخال'!$F$4),ROUND(الحاسبة!BF30,2),IF(AND(FC=ILS,OR(التوصية!$B$248='بيانات للادخال'!$F$2,التوصية!$B$248='بيانات للادخال'!$F$3)),ROUNDUP(الحاسبة!BF30*usdrate,0),IF(AND(FC=ILS,التوصية!$B$248='بيانات للادخال'!$F$4),ROUND(الحاسبة!BF30*usdrate,2),IF(AND(FC=EUR,OR(التوصية!$B$248='بيانات للادخال'!$F$2,التوصية!$B$248='بيانات للادخال'!$F$3)),ROUNDUP(الحاسبة!BF30/eurrate,0),IF(AND(FC=EUR,التوصية!$B$248='بيانات للادخال'!$F$4),ROUND(الحاسبة!BF30/eurrate,2),0))))))</f>
        <v>200</v>
      </c>
      <c r="H26" s="318"/>
      <c r="I26" s="630" t="str">
        <f>IFERROR(IF(I25=التوصية!$D$280,"",'جدول السداد'!I25+1),"")</f>
        <v/>
      </c>
      <c r="J26" s="627" t="str">
        <f t="shared" si="9"/>
        <v/>
      </c>
      <c r="K26" s="621" t="str">
        <f t="shared" si="1"/>
        <v/>
      </c>
      <c r="L26" s="621" t="str">
        <f t="shared" si="10"/>
        <v/>
      </c>
      <c r="M26" s="621" t="str">
        <f t="shared" si="11"/>
        <v/>
      </c>
      <c r="N26" s="628" t="str">
        <f t="shared" si="12"/>
        <v/>
      </c>
      <c r="O26" s="622">
        <f>IF(AND(FC=USD,OR(التوصية!$B$248='بيانات للادخال'!$F$2,التوصية!$B$248='بيانات للادخال'!$F$3)),ROUNDUP(الحاسبة!BF60,0),IF(AND(FC=USD,التوصية!$B$248='بيانات للادخال'!$F$4),ROUND(الحاسبة!BF60,2),IF(AND(FC=ILS,OR(التوصية!$B$248='بيانات للادخال'!$F$2,التوصية!$B$248='بيانات للادخال'!$F$3)),ROUNDUP(الحاسبة!BF60*usdrate,0),IF(AND(FC=ILS,التوصية!$B$248='بيانات للادخال'!$F$4),ROUND(الحاسبة!BF60*usdrate,2),IF(AND(FC=EUR,OR(التوصية!$B$248='بيانات للادخال'!$F$2,التوصية!$B$248='بيانات للادخال'!$F$3)),ROUNDUP(الحاسبة!BF60/eurrate,0),IF(AND(FC=EUR,التوصية!$B$248='بيانات للادخال'!$F$4),ROUND(الحاسبة!BF60/eurrate,2),0))))))</f>
        <v>0</v>
      </c>
      <c r="R26" s="383">
        <f t="shared" si="2"/>
        <v>22</v>
      </c>
      <c r="S26" s="642" t="str">
        <f t="shared" si="0"/>
        <v>0/3/2023</v>
      </c>
    </row>
    <row r="27" spans="1:19">
      <c r="A27" s="630">
        <f>IFERROR(IF(A26=التوصية!$D$280,"",'جدول السداد'!A26+1),"")</f>
        <v>23</v>
      </c>
      <c r="B27" s="627">
        <f t="shared" si="4"/>
        <v>2023</v>
      </c>
      <c r="C27" s="621" t="str">
        <f t="shared" si="5"/>
        <v>/</v>
      </c>
      <c r="D27" s="621">
        <f t="shared" si="6"/>
        <v>3</v>
      </c>
      <c r="E27" s="621" t="str">
        <f t="shared" si="7"/>
        <v>/</v>
      </c>
      <c r="F27" s="628">
        <f t="shared" si="8"/>
        <v>0</v>
      </c>
      <c r="G27" s="622">
        <f>IF(AND(FC=USD,OR(التوصية!$B$248='بيانات للادخال'!$F$2,التوصية!$B$248='بيانات للادخال'!$F$3)),ROUNDUP(الحاسبة!BF31,0),IF(AND(FC=USD,التوصية!$B$248='بيانات للادخال'!$F$4),ROUND(الحاسبة!BF31,2),IF(AND(FC=ILS,OR(التوصية!$B$248='بيانات للادخال'!$F$2,التوصية!$B$248='بيانات للادخال'!$F$3)),ROUNDUP(الحاسبة!BF31*usdrate,0),IF(AND(FC=ILS,التوصية!$B$248='بيانات للادخال'!$F$4),ROUND(الحاسبة!BF31*usdrate,2),IF(AND(FC=EUR,OR(التوصية!$B$248='بيانات للادخال'!$F$2,التوصية!$B$248='بيانات للادخال'!$F$3)),ROUNDUP(الحاسبة!BF31/eurrate,0),IF(AND(FC=EUR,التوصية!$B$248='بيانات للادخال'!$F$4),ROUND(الحاسبة!BF31/eurrate,2),0))))))</f>
        <v>200</v>
      </c>
      <c r="H27" s="318"/>
      <c r="I27" s="630" t="str">
        <f>IFERROR(IF(I26=التوصية!$D$280,"",'جدول السداد'!I26+1),"")</f>
        <v/>
      </c>
      <c r="J27" s="627" t="str">
        <f t="shared" si="9"/>
        <v/>
      </c>
      <c r="K27" s="621" t="str">
        <f t="shared" si="1"/>
        <v/>
      </c>
      <c r="L27" s="621" t="str">
        <f t="shared" si="10"/>
        <v/>
      </c>
      <c r="M27" s="621" t="str">
        <f t="shared" si="11"/>
        <v/>
      </c>
      <c r="N27" s="628" t="str">
        <f t="shared" si="12"/>
        <v/>
      </c>
      <c r="O27" s="622">
        <f>IF(AND(FC=USD,OR(التوصية!$B$248='بيانات للادخال'!$F$2,التوصية!$B$248='بيانات للادخال'!$F$3)),ROUNDUP(الحاسبة!BF61,0),IF(AND(FC=USD,التوصية!$B$248='بيانات للادخال'!$F$4),ROUND(الحاسبة!BF61,2),IF(AND(FC=ILS,OR(التوصية!$B$248='بيانات للادخال'!$F$2,التوصية!$B$248='بيانات للادخال'!$F$3)),ROUNDUP(الحاسبة!BF61*usdrate,0),IF(AND(FC=ILS,التوصية!$B$248='بيانات للادخال'!$F$4),ROUND(الحاسبة!BF61*usdrate,2),IF(AND(FC=EUR,OR(التوصية!$B$248='بيانات للادخال'!$F$2,التوصية!$B$248='بيانات للادخال'!$F$3)),ROUNDUP(الحاسبة!BF61/eurrate,0),IF(AND(FC=EUR,التوصية!$B$248='بيانات للادخال'!$F$4),ROUND(الحاسبة!BF61/eurrate,2),0))))))</f>
        <v>0</v>
      </c>
      <c r="R27" s="383">
        <f t="shared" si="2"/>
        <v>23</v>
      </c>
      <c r="S27" s="642" t="str">
        <f t="shared" si="0"/>
        <v>0/4/2023</v>
      </c>
    </row>
    <row r="28" spans="1:19">
      <c r="A28" s="630">
        <f>IFERROR(IF(A27=التوصية!$D$280,"",'جدول السداد'!A27+1),"")</f>
        <v>24</v>
      </c>
      <c r="B28" s="627">
        <f t="shared" si="4"/>
        <v>2023</v>
      </c>
      <c r="C28" s="621" t="str">
        <f t="shared" si="5"/>
        <v>/</v>
      </c>
      <c r="D28" s="621">
        <f t="shared" si="6"/>
        <v>4</v>
      </c>
      <c r="E28" s="621" t="str">
        <f t="shared" si="7"/>
        <v>/</v>
      </c>
      <c r="F28" s="628">
        <f t="shared" si="8"/>
        <v>0</v>
      </c>
      <c r="G28" s="622">
        <f>IF(AND(FC=USD,OR(التوصية!$B$248='بيانات للادخال'!$F$2,التوصية!$B$248='بيانات للادخال'!$F$3)),ROUNDUP(الحاسبة!BF32,0),IF(AND(FC=USD,التوصية!$B$248='بيانات للادخال'!$F$4),ROUND(الحاسبة!BF32,2),IF(AND(FC=ILS,OR(التوصية!$B$248='بيانات للادخال'!$F$2,التوصية!$B$248='بيانات للادخال'!$F$3)),ROUNDUP(الحاسبة!BF32*usdrate,0),IF(AND(FC=ILS,التوصية!$B$248='بيانات للادخال'!$F$4),ROUND(الحاسبة!BF32*usdrate,2),IF(AND(FC=EUR,OR(التوصية!$B$248='بيانات للادخال'!$F$2,التوصية!$B$248='بيانات للادخال'!$F$3)),ROUNDUP(الحاسبة!BF32/eurrate,0),IF(AND(FC=EUR,التوصية!$B$248='بيانات للادخال'!$F$4),ROUND(الحاسبة!BF32/eurrate,2),0))))))</f>
        <v>200</v>
      </c>
      <c r="H28" s="318"/>
      <c r="I28" s="630" t="str">
        <f>IFERROR(IF(I27=التوصية!$D$280,"",'جدول السداد'!I27+1),"")</f>
        <v/>
      </c>
      <c r="J28" s="627" t="str">
        <f t="shared" si="9"/>
        <v/>
      </c>
      <c r="K28" s="621" t="str">
        <f t="shared" si="1"/>
        <v/>
      </c>
      <c r="L28" s="621" t="str">
        <f t="shared" si="10"/>
        <v/>
      </c>
      <c r="M28" s="621" t="str">
        <f t="shared" si="11"/>
        <v/>
      </c>
      <c r="N28" s="628" t="str">
        <f t="shared" si="12"/>
        <v/>
      </c>
      <c r="O28" s="622">
        <f>IF(AND(FC=USD,OR(التوصية!$B$248='بيانات للادخال'!$F$2,التوصية!$B$248='بيانات للادخال'!$F$3)),ROUNDUP(الحاسبة!BF62,0),IF(AND(FC=USD,التوصية!$B$248='بيانات للادخال'!$F$4),ROUND(الحاسبة!BF62,2),IF(AND(FC=ILS,OR(التوصية!$B$248='بيانات للادخال'!$F$2,التوصية!$B$248='بيانات للادخال'!$F$3)),ROUNDUP(الحاسبة!BF62*usdrate,0),IF(AND(FC=ILS,التوصية!$B$248='بيانات للادخال'!$F$4),ROUND(الحاسبة!BF62*usdrate,2),IF(AND(FC=EUR,OR(التوصية!$B$248='بيانات للادخال'!$F$2,التوصية!$B$248='بيانات للادخال'!$F$3)),ROUNDUP(الحاسبة!BF62/eurrate,0),IF(AND(FC=EUR,التوصية!$B$248='بيانات للادخال'!$F$4),ROUND(الحاسبة!BF62/eurrate,2),0))))))</f>
        <v>0</v>
      </c>
      <c r="R28" s="383">
        <f t="shared" si="2"/>
        <v>24</v>
      </c>
      <c r="S28" s="642" t="str">
        <f t="shared" si="0"/>
        <v>0/5/2023</v>
      </c>
    </row>
    <row r="29" spans="1:19">
      <c r="A29" s="630">
        <f>IFERROR(IF(A28=التوصية!$D$280,"",'جدول السداد'!A28+1),"")</f>
        <v>25</v>
      </c>
      <c r="B29" s="627">
        <f t="shared" si="4"/>
        <v>2023</v>
      </c>
      <c r="C29" s="621" t="str">
        <f t="shared" si="5"/>
        <v>/</v>
      </c>
      <c r="D29" s="621">
        <f t="shared" si="6"/>
        <v>5</v>
      </c>
      <c r="E29" s="621" t="str">
        <f t="shared" si="7"/>
        <v>/</v>
      </c>
      <c r="F29" s="628">
        <f t="shared" si="8"/>
        <v>0</v>
      </c>
      <c r="G29" s="622">
        <f>IF(AND(FC=USD,OR(التوصية!$B$248='بيانات للادخال'!$F$2,التوصية!$B$248='بيانات للادخال'!$F$3)),ROUNDUP(الحاسبة!BF33,0),IF(AND(FC=USD,التوصية!$B$248='بيانات للادخال'!$F$4),ROUND(الحاسبة!BF33,2),IF(AND(FC=ILS,OR(التوصية!$B$248='بيانات للادخال'!$F$2,التوصية!$B$248='بيانات للادخال'!$F$3)),ROUNDUP(الحاسبة!BF33*usdrate,0),IF(AND(FC=ILS,التوصية!$B$248='بيانات للادخال'!$F$4),ROUND(الحاسبة!BF33*usdrate,2),IF(AND(FC=EUR,OR(التوصية!$B$248='بيانات للادخال'!$F$2,التوصية!$B$248='بيانات للادخال'!$F$3)),ROUNDUP(الحاسبة!BF33/eurrate,0),IF(AND(FC=EUR,التوصية!$B$248='بيانات للادخال'!$F$4),ROUND(الحاسبة!BF33/eurrate,2),0))))))</f>
        <v>200</v>
      </c>
      <c r="H29" s="318"/>
      <c r="I29" s="630" t="str">
        <f>IFERROR(IF(I28=التوصية!$D$280,"",'جدول السداد'!I28+1),"")</f>
        <v/>
      </c>
      <c r="J29" s="627" t="str">
        <f t="shared" si="9"/>
        <v/>
      </c>
      <c r="K29" s="621" t="str">
        <f t="shared" si="1"/>
        <v/>
      </c>
      <c r="L29" s="621" t="str">
        <f t="shared" si="10"/>
        <v/>
      </c>
      <c r="M29" s="621" t="str">
        <f t="shared" si="11"/>
        <v/>
      </c>
      <c r="N29" s="628" t="str">
        <f t="shared" si="12"/>
        <v/>
      </c>
      <c r="O29" s="622">
        <f>IF(AND(FC=USD,OR(التوصية!$B$248='بيانات للادخال'!$F$2,التوصية!$B$248='بيانات للادخال'!$F$3)),ROUNDUP(الحاسبة!BF63,0),IF(AND(FC=USD,التوصية!$B$248='بيانات للادخال'!$F$4),ROUND(الحاسبة!BF63,2),IF(AND(FC=ILS,OR(التوصية!$B$248='بيانات للادخال'!$F$2,التوصية!$B$248='بيانات للادخال'!$F$3)),ROUNDUP(الحاسبة!BF63*usdrate,0),IF(AND(FC=ILS,التوصية!$B$248='بيانات للادخال'!$F$4),ROUND(الحاسبة!BF63*usdrate,2),IF(AND(FC=EUR,OR(التوصية!$B$248='بيانات للادخال'!$F$2,التوصية!$B$248='بيانات للادخال'!$F$3)),ROUNDUP(الحاسبة!BF63/eurrate,0),IF(AND(FC=EUR,التوصية!$B$248='بيانات للادخال'!$F$4),ROUND(الحاسبة!BF63/eurrate,2),0))))))</f>
        <v>0</v>
      </c>
      <c r="R29" s="383">
        <f t="shared" si="2"/>
        <v>25</v>
      </c>
      <c r="S29" s="642" t="str">
        <f t="shared" si="0"/>
        <v>0/6/2023</v>
      </c>
    </row>
    <row r="30" spans="1:19">
      <c r="A30" s="630">
        <f>IFERROR(IF(A29=التوصية!$D$280,"",'جدول السداد'!A29+1),"")</f>
        <v>26</v>
      </c>
      <c r="B30" s="627">
        <f t="shared" si="4"/>
        <v>2023</v>
      </c>
      <c r="C30" s="621" t="str">
        <f t="shared" si="5"/>
        <v>/</v>
      </c>
      <c r="D30" s="621">
        <f t="shared" si="6"/>
        <v>6</v>
      </c>
      <c r="E30" s="621" t="str">
        <f t="shared" si="7"/>
        <v>/</v>
      </c>
      <c r="F30" s="628">
        <f t="shared" si="8"/>
        <v>0</v>
      </c>
      <c r="G30" s="622">
        <f>IF(AND(FC=USD,OR(التوصية!$B$248='بيانات للادخال'!$F$2,التوصية!$B$248='بيانات للادخال'!$F$3)),ROUNDUP(الحاسبة!BF34,0),IF(AND(FC=USD,التوصية!$B$248='بيانات للادخال'!$F$4),ROUND(الحاسبة!BF34,2),IF(AND(FC=ILS,OR(التوصية!$B$248='بيانات للادخال'!$F$2,التوصية!$B$248='بيانات للادخال'!$F$3)),ROUNDUP(الحاسبة!BF34*usdrate,0),IF(AND(FC=ILS,التوصية!$B$248='بيانات للادخال'!$F$4),ROUND(الحاسبة!BF34*usdrate,2),IF(AND(FC=EUR,OR(التوصية!$B$248='بيانات للادخال'!$F$2,التوصية!$B$248='بيانات للادخال'!$F$3)),ROUNDUP(الحاسبة!BF34/eurrate,0),IF(AND(FC=EUR,التوصية!$B$248='بيانات للادخال'!$F$4),ROUND(الحاسبة!BF34/eurrate,2),0))))))</f>
        <v>200</v>
      </c>
      <c r="H30" s="318"/>
      <c r="I30" s="630" t="str">
        <f>IFERROR(IF(I29=التوصية!$D$280,"",'جدول السداد'!I29+1),"")</f>
        <v/>
      </c>
      <c r="J30" s="627" t="str">
        <f t="shared" si="9"/>
        <v/>
      </c>
      <c r="K30" s="621" t="str">
        <f t="shared" si="1"/>
        <v/>
      </c>
      <c r="L30" s="621" t="str">
        <f t="shared" si="10"/>
        <v/>
      </c>
      <c r="M30" s="621" t="str">
        <f t="shared" si="11"/>
        <v/>
      </c>
      <c r="N30" s="628" t="str">
        <f t="shared" si="12"/>
        <v/>
      </c>
      <c r="O30" s="622">
        <f>IF(AND(FC=USD,OR(التوصية!$B$248='بيانات للادخال'!$F$2,التوصية!$B$248='بيانات للادخال'!$F$3)),ROUNDUP(الحاسبة!BF64,0),IF(AND(FC=USD,التوصية!$B$248='بيانات للادخال'!$F$4),ROUND(الحاسبة!BF64,2),IF(AND(FC=ILS,OR(التوصية!$B$248='بيانات للادخال'!$F$2,التوصية!$B$248='بيانات للادخال'!$F$3)),ROUNDUP(الحاسبة!BF64*usdrate,0),IF(AND(FC=ILS,التوصية!$B$248='بيانات للادخال'!$F$4),ROUND(الحاسبة!BF64*usdrate,2),IF(AND(FC=EUR,OR(التوصية!$B$248='بيانات للادخال'!$F$2,التوصية!$B$248='بيانات للادخال'!$F$3)),ROUNDUP(الحاسبة!BF64/eurrate,0),IF(AND(FC=EUR,التوصية!$B$248='بيانات للادخال'!$F$4),ROUND(الحاسبة!BF64/eurrate,2),0))))))</f>
        <v>0</v>
      </c>
      <c r="R30" s="383">
        <f t="shared" si="2"/>
        <v>26</v>
      </c>
      <c r="S30" s="642" t="str">
        <f t="shared" si="0"/>
        <v>0/7/2023</v>
      </c>
    </row>
    <row r="31" spans="1:19">
      <c r="A31" s="630">
        <f>IFERROR(IF(A30=التوصية!$D$280,"",'جدول السداد'!A30+1),"")</f>
        <v>27</v>
      </c>
      <c r="B31" s="627">
        <f t="shared" si="4"/>
        <v>2023</v>
      </c>
      <c r="C31" s="621" t="str">
        <f t="shared" si="5"/>
        <v>/</v>
      </c>
      <c r="D31" s="621">
        <f t="shared" si="6"/>
        <v>7</v>
      </c>
      <c r="E31" s="621" t="str">
        <f t="shared" si="7"/>
        <v>/</v>
      </c>
      <c r="F31" s="628">
        <f t="shared" si="8"/>
        <v>0</v>
      </c>
      <c r="G31" s="622">
        <f>IF(AND(FC=USD,OR(التوصية!$B$248='بيانات للادخال'!$F$2,التوصية!$B$248='بيانات للادخال'!$F$3)),ROUNDUP(الحاسبة!BF35,0),IF(AND(FC=USD,التوصية!$B$248='بيانات للادخال'!$F$4),ROUND(الحاسبة!BF35,2),IF(AND(FC=ILS,OR(التوصية!$B$248='بيانات للادخال'!$F$2,التوصية!$B$248='بيانات للادخال'!$F$3)),ROUNDUP(الحاسبة!BF35*usdrate,0),IF(AND(FC=ILS,التوصية!$B$248='بيانات للادخال'!$F$4),ROUND(الحاسبة!BF35*usdrate,2),IF(AND(FC=EUR,OR(التوصية!$B$248='بيانات للادخال'!$F$2,التوصية!$B$248='بيانات للادخال'!$F$3)),ROUNDUP(الحاسبة!BF35/eurrate,0),IF(AND(FC=EUR,التوصية!$B$248='بيانات للادخال'!$F$4),ROUND(الحاسبة!BF35/eurrate,2),0))))))</f>
        <v>200</v>
      </c>
      <c r="H31" s="318"/>
      <c r="I31" s="630" t="str">
        <f>IFERROR(IF(I30=التوصية!$D$280,"",'جدول السداد'!I30+1),"")</f>
        <v/>
      </c>
      <c r="J31" s="627" t="str">
        <f t="shared" si="9"/>
        <v/>
      </c>
      <c r="K31" s="621" t="str">
        <f t="shared" si="1"/>
        <v/>
      </c>
      <c r="L31" s="621" t="str">
        <f t="shared" si="10"/>
        <v/>
      </c>
      <c r="M31" s="621" t="str">
        <f t="shared" si="11"/>
        <v/>
      </c>
      <c r="N31" s="628" t="str">
        <f t="shared" si="12"/>
        <v/>
      </c>
      <c r="O31" s="622">
        <f>IF(AND(FC=USD,OR(التوصية!$B$248='بيانات للادخال'!$F$2,التوصية!$B$248='بيانات للادخال'!$F$3)),ROUNDUP(الحاسبة!BF65,0),IF(AND(FC=USD,التوصية!$B$248='بيانات للادخال'!$F$4),ROUND(الحاسبة!BF65,2),IF(AND(FC=ILS,OR(التوصية!$B$248='بيانات للادخال'!$F$2,التوصية!$B$248='بيانات للادخال'!$F$3)),ROUNDUP(الحاسبة!BF65*usdrate,0),IF(AND(FC=ILS,التوصية!$B$248='بيانات للادخال'!$F$4),ROUND(الحاسبة!BF65*usdrate,2),IF(AND(FC=EUR,OR(التوصية!$B$248='بيانات للادخال'!$F$2,التوصية!$B$248='بيانات للادخال'!$F$3)),ROUNDUP(الحاسبة!BF65/eurrate,0),IF(AND(FC=EUR,التوصية!$B$248='بيانات للادخال'!$F$4),ROUND(الحاسبة!BF65/eurrate,2),0))))))</f>
        <v>0</v>
      </c>
      <c r="R31" s="383">
        <f t="shared" si="2"/>
        <v>27</v>
      </c>
      <c r="S31" s="642" t="str">
        <f t="shared" si="0"/>
        <v>0/8/2023</v>
      </c>
    </row>
    <row r="32" spans="1:19">
      <c r="A32" s="630">
        <f>IFERROR(IF(A31=التوصية!$D$280,"",'جدول السداد'!A31+1),"")</f>
        <v>28</v>
      </c>
      <c r="B32" s="627">
        <f t="shared" si="4"/>
        <v>2023</v>
      </c>
      <c r="C32" s="621" t="str">
        <f t="shared" si="5"/>
        <v>/</v>
      </c>
      <c r="D32" s="621">
        <f t="shared" si="6"/>
        <v>8</v>
      </c>
      <c r="E32" s="621" t="str">
        <f t="shared" si="7"/>
        <v>/</v>
      </c>
      <c r="F32" s="628">
        <f t="shared" si="8"/>
        <v>0</v>
      </c>
      <c r="G32" s="622">
        <f>IF(AND(FC=USD,OR(التوصية!$B$248='بيانات للادخال'!$F$2,التوصية!$B$248='بيانات للادخال'!$F$3)),ROUNDUP(الحاسبة!BF36,0),IF(AND(FC=USD,التوصية!$B$248='بيانات للادخال'!$F$4),ROUND(الحاسبة!BF36,2),IF(AND(FC=ILS,OR(التوصية!$B$248='بيانات للادخال'!$F$2,التوصية!$B$248='بيانات للادخال'!$F$3)),ROUNDUP(الحاسبة!BF36*usdrate,0),IF(AND(FC=ILS,التوصية!$B$248='بيانات للادخال'!$F$4),ROUND(الحاسبة!BF36*usdrate,2),IF(AND(FC=EUR,OR(التوصية!$B$248='بيانات للادخال'!$F$2,التوصية!$B$248='بيانات للادخال'!$F$3)),ROUNDUP(الحاسبة!BF36/eurrate,0),IF(AND(FC=EUR,التوصية!$B$248='بيانات للادخال'!$F$4),ROUND(الحاسبة!BF36/eurrate,2),0))))))</f>
        <v>200</v>
      </c>
      <c r="H32" s="318"/>
      <c r="I32" s="630" t="str">
        <f>IFERROR(IF(I31=التوصية!$D$280,"",'جدول السداد'!I31+1),"")</f>
        <v/>
      </c>
      <c r="J32" s="627" t="str">
        <f t="shared" si="9"/>
        <v/>
      </c>
      <c r="K32" s="621" t="str">
        <f t="shared" si="1"/>
        <v/>
      </c>
      <c r="L32" s="621" t="str">
        <f t="shared" si="10"/>
        <v/>
      </c>
      <c r="M32" s="621" t="str">
        <f t="shared" si="11"/>
        <v/>
      </c>
      <c r="N32" s="628" t="str">
        <f t="shared" si="12"/>
        <v/>
      </c>
      <c r="O32" s="622">
        <f>IF(AND(FC=USD,OR(التوصية!$B$248='بيانات للادخال'!$F$2,التوصية!$B$248='بيانات للادخال'!$F$3)),ROUNDUP(الحاسبة!BF66,0),IF(AND(FC=USD,التوصية!$B$248='بيانات للادخال'!$F$4),ROUND(الحاسبة!BF66,2),IF(AND(FC=ILS,OR(التوصية!$B$248='بيانات للادخال'!$F$2,التوصية!$B$248='بيانات للادخال'!$F$3)),ROUNDUP(الحاسبة!BF66*usdrate,0),IF(AND(FC=ILS,التوصية!$B$248='بيانات للادخال'!$F$4),ROUND(الحاسبة!BF66*usdrate,2),IF(AND(FC=EUR,OR(التوصية!$B$248='بيانات للادخال'!$F$2,التوصية!$B$248='بيانات للادخال'!$F$3)),ROUNDUP(الحاسبة!BF66/eurrate,0),IF(AND(FC=EUR,التوصية!$B$248='بيانات للادخال'!$F$4),ROUND(الحاسبة!BF66/eurrate,2),0))))))</f>
        <v>0</v>
      </c>
      <c r="R32" s="383">
        <f t="shared" si="2"/>
        <v>28</v>
      </c>
      <c r="S32" s="642" t="str">
        <f t="shared" si="0"/>
        <v>0/9/2023</v>
      </c>
    </row>
    <row r="33" spans="1:19">
      <c r="A33" s="630">
        <f>IFERROR(IF(A32=التوصية!$D$280,"",'جدول السداد'!A32+1),"")</f>
        <v>29</v>
      </c>
      <c r="B33" s="627">
        <f t="shared" si="4"/>
        <v>2023</v>
      </c>
      <c r="C33" s="621" t="str">
        <f t="shared" si="5"/>
        <v>/</v>
      </c>
      <c r="D33" s="621">
        <f t="shared" si="6"/>
        <v>9</v>
      </c>
      <c r="E33" s="621" t="str">
        <f t="shared" si="7"/>
        <v>/</v>
      </c>
      <c r="F33" s="628">
        <f t="shared" si="8"/>
        <v>0</v>
      </c>
      <c r="G33" s="622">
        <f>IF(AND(FC=USD,OR(التوصية!$B$248='بيانات للادخال'!$F$2,التوصية!$B$248='بيانات للادخال'!$F$3)),ROUNDUP(الحاسبة!BF37,0),IF(AND(FC=USD,التوصية!$B$248='بيانات للادخال'!$F$4),ROUND(الحاسبة!BF37,2),IF(AND(FC=ILS,OR(التوصية!$B$248='بيانات للادخال'!$F$2,التوصية!$B$248='بيانات للادخال'!$F$3)),ROUNDUP(الحاسبة!BF37*usdrate,0),IF(AND(FC=ILS,التوصية!$B$248='بيانات للادخال'!$F$4),ROUND(الحاسبة!BF37*usdrate,2),IF(AND(FC=EUR,OR(التوصية!$B$248='بيانات للادخال'!$F$2,التوصية!$B$248='بيانات للادخال'!$F$3)),ROUNDUP(الحاسبة!BF37/eurrate,0),IF(AND(FC=EUR,التوصية!$B$248='بيانات للادخال'!$F$4),ROUND(الحاسبة!BF37/eurrate,2),0))))))</f>
        <v>200</v>
      </c>
      <c r="H33" s="318"/>
      <c r="I33" s="630" t="str">
        <f>IFERROR(IF(I32=التوصية!$D$280,"",'جدول السداد'!I32+1),"")</f>
        <v/>
      </c>
      <c r="J33" s="627" t="str">
        <f t="shared" si="9"/>
        <v/>
      </c>
      <c r="K33" s="621" t="str">
        <f t="shared" si="1"/>
        <v/>
      </c>
      <c r="L33" s="621" t="str">
        <f t="shared" si="10"/>
        <v/>
      </c>
      <c r="M33" s="621" t="str">
        <f t="shared" si="11"/>
        <v/>
      </c>
      <c r="N33" s="628" t="str">
        <f t="shared" si="12"/>
        <v/>
      </c>
      <c r="O33" s="622">
        <f>IF(AND(FC=USD,OR(التوصية!$B$248='بيانات للادخال'!$F$2,التوصية!$B$248='بيانات للادخال'!$F$3)),ROUNDUP(الحاسبة!BF67,0),IF(AND(FC=USD,التوصية!$B$248='بيانات للادخال'!$F$4),ROUND(الحاسبة!BF67,2),IF(AND(FC=ILS,OR(التوصية!$B$248='بيانات للادخال'!$F$2,التوصية!$B$248='بيانات للادخال'!$F$3)),ROUNDUP(الحاسبة!BF67*usdrate,0),IF(AND(FC=ILS,التوصية!$B$248='بيانات للادخال'!$F$4),ROUND(الحاسبة!BF67*usdrate,2),IF(AND(FC=EUR,OR(التوصية!$B$248='بيانات للادخال'!$F$2,التوصية!$B$248='بيانات للادخال'!$F$3)),ROUNDUP(الحاسبة!BF67/eurrate,0),IF(AND(FC=EUR,التوصية!$B$248='بيانات للادخال'!$F$4),ROUND(الحاسبة!BF67/eurrate,2),0))))))</f>
        <v>0</v>
      </c>
      <c r="R33" s="383">
        <f t="shared" si="2"/>
        <v>29</v>
      </c>
      <c r="S33" s="642" t="str">
        <f t="shared" si="0"/>
        <v>0/10/2023</v>
      </c>
    </row>
    <row r="34" spans="1:19">
      <c r="A34" s="630">
        <f>IFERROR(IF(A33=التوصية!$D$280,"",'جدول السداد'!A33+1),"")</f>
        <v>30</v>
      </c>
      <c r="B34" s="627">
        <f t="shared" si="4"/>
        <v>2023</v>
      </c>
      <c r="C34" s="621" t="str">
        <f t="shared" si="5"/>
        <v>/</v>
      </c>
      <c r="D34" s="621">
        <f t="shared" si="6"/>
        <v>10</v>
      </c>
      <c r="E34" s="621" t="str">
        <f t="shared" si="7"/>
        <v>/</v>
      </c>
      <c r="F34" s="628">
        <f t="shared" si="8"/>
        <v>0</v>
      </c>
      <c r="G34" s="622">
        <f>IF(AND(FC=USD,OR(التوصية!$B$248='بيانات للادخال'!$F$2,التوصية!$B$248='بيانات للادخال'!$F$3)),ROUNDUP(الحاسبة!BF38,0),IF(AND(FC=USD,التوصية!$B$248='بيانات للادخال'!$F$4),ROUND(الحاسبة!BF38,2),IF(AND(FC=ILS,OR(التوصية!$B$248='بيانات للادخال'!$F$2,التوصية!$B$248='بيانات للادخال'!$F$3)),ROUNDUP(الحاسبة!BF38*usdrate,0),IF(AND(FC=ILS,التوصية!$B$248='بيانات للادخال'!$F$4),ROUND(الحاسبة!BF38*usdrate,2),IF(AND(FC=EUR,OR(التوصية!$B$248='بيانات للادخال'!$F$2,التوصية!$B$248='بيانات للادخال'!$F$3)),ROUNDUP(الحاسبة!BF38/eurrate,0),IF(AND(FC=EUR,التوصية!$B$248='بيانات للادخال'!$F$4),ROUND(الحاسبة!BF38/eurrate,2),0))))))</f>
        <v>200</v>
      </c>
      <c r="H34" s="318"/>
      <c r="I34" s="630" t="str">
        <f>IFERROR(IF(I33=التوصية!$D$280,"",'جدول السداد'!I33+1),"")</f>
        <v/>
      </c>
      <c r="J34" s="627" t="str">
        <f t="shared" si="9"/>
        <v/>
      </c>
      <c r="K34" s="621" t="str">
        <f t="shared" si="1"/>
        <v/>
      </c>
      <c r="L34" s="621" t="str">
        <f t="shared" si="10"/>
        <v/>
      </c>
      <c r="M34" s="621" t="str">
        <f t="shared" si="11"/>
        <v/>
      </c>
      <c r="N34" s="628" t="str">
        <f t="shared" si="12"/>
        <v/>
      </c>
      <c r="O34" s="622">
        <f>IF(AND(FC=USD,OR(التوصية!$B$248='بيانات للادخال'!$F$2,التوصية!$B$248='بيانات للادخال'!$F$3)),ROUNDUP(الحاسبة!BF68,0),IF(AND(FC=USD,التوصية!$B$248='بيانات للادخال'!$F$4),ROUND(الحاسبة!BF68,2),IF(AND(FC=ILS,OR(التوصية!$B$248='بيانات للادخال'!$F$2,التوصية!$B$248='بيانات للادخال'!$F$3)),ROUNDUP(الحاسبة!BF68*usdrate,0),IF(AND(FC=ILS,التوصية!$B$248='بيانات للادخال'!$F$4),ROUND(الحاسبة!BF68*usdrate,2),IF(AND(FC=EUR,OR(التوصية!$B$248='بيانات للادخال'!$F$2,التوصية!$B$248='بيانات للادخال'!$F$3)),ROUNDUP(الحاسبة!BF68/eurrate,0),IF(AND(FC=EUR,التوصية!$B$248='بيانات للادخال'!$F$4),ROUND(الحاسبة!BF68/eurrate,2),0))))))</f>
        <v>0</v>
      </c>
      <c r="R34" s="383">
        <f t="shared" si="2"/>
        <v>30</v>
      </c>
      <c r="S34" s="642" t="str">
        <f>N5&amp;M5&amp;L5&amp;K5&amp;J5</f>
        <v>0/11/2023</v>
      </c>
    </row>
    <row r="35" spans="1:19">
      <c r="H35" s="318"/>
      <c r="I35" s="1553" t="s">
        <v>577</v>
      </c>
      <c r="J35" s="1553"/>
      <c r="K35" s="1553"/>
      <c r="L35" s="1553"/>
      <c r="M35" s="1553"/>
      <c r="N35" s="1553"/>
      <c r="O35" s="631">
        <f>SUM(G5:G34,O5:O34)</f>
        <v>9600</v>
      </c>
      <c r="R35" s="383">
        <f t="shared" si="2"/>
        <v>31</v>
      </c>
      <c r="S35" s="642" t="str">
        <f t="shared" ref="S35:S62" si="13">N6&amp;M6&amp;L6&amp;K6&amp;J6</f>
        <v>0/12/2023</v>
      </c>
    </row>
    <row r="36" spans="1:19">
      <c r="A36" s="625"/>
      <c r="B36" s="625"/>
      <c r="C36" s="625"/>
      <c r="D36" s="625"/>
      <c r="E36" s="625"/>
      <c r="F36" s="625"/>
      <c r="G36" s="626"/>
      <c r="H36" s="318"/>
      <c r="I36" s="629"/>
      <c r="J36" s="629"/>
      <c r="K36" s="625"/>
      <c r="L36" s="629"/>
      <c r="M36" s="625"/>
      <c r="N36" s="629"/>
      <c r="O36" s="623"/>
      <c r="R36" s="383">
        <f t="shared" si="2"/>
        <v>32</v>
      </c>
      <c r="S36" s="642" t="str">
        <f t="shared" si="13"/>
        <v>0/1/2024</v>
      </c>
    </row>
    <row r="37" spans="1:19">
      <c r="A37" s="1554" t="s">
        <v>580</v>
      </c>
      <c r="B37" s="1554"/>
      <c r="C37" s="1554"/>
      <c r="D37" s="1554"/>
      <c r="E37" s="1554"/>
      <c r="F37" s="1554"/>
      <c r="G37" s="1554"/>
      <c r="H37" s="1554"/>
      <c r="I37" s="1554"/>
      <c r="J37" s="1554"/>
      <c r="K37" s="1554"/>
      <c r="L37" s="1554"/>
      <c r="M37" s="1554"/>
      <c r="N37" s="1554"/>
      <c r="O37" s="1554"/>
      <c r="R37" s="383">
        <f t="shared" si="2"/>
        <v>33</v>
      </c>
      <c r="S37" s="642" t="str">
        <f t="shared" si="13"/>
        <v>0/2/2024</v>
      </c>
    </row>
    <row r="38" spans="1:19" ht="24.95" customHeight="1">
      <c r="A38" s="1547" t="str">
        <f>التوصية!A262</f>
        <v>الأصل</v>
      </c>
      <c r="B38" s="1547"/>
      <c r="C38" s="1547"/>
      <c r="D38" s="1547"/>
      <c r="E38" s="1547"/>
      <c r="F38" s="1547" t="str">
        <f>التوصية!B262</f>
        <v>رقم الشاصي/ رقم التسلسلي</v>
      </c>
      <c r="G38" s="1547"/>
      <c r="H38" s="1547"/>
      <c r="I38" s="1547" t="str">
        <f>التوصية!C262</f>
        <v>سنة الانتاج</v>
      </c>
      <c r="J38" s="1547"/>
      <c r="K38" s="1547" t="str">
        <f>التوصية!D262</f>
        <v>مواصفات اخرى</v>
      </c>
      <c r="L38" s="1547"/>
      <c r="M38" s="1547"/>
      <c r="N38" s="1547"/>
      <c r="O38" s="1547"/>
      <c r="R38" s="383">
        <f t="shared" si="2"/>
        <v>34</v>
      </c>
      <c r="S38" s="642" t="str">
        <f t="shared" si="13"/>
        <v>0/3/2024</v>
      </c>
    </row>
    <row r="39" spans="1:19" ht="24.95" customHeight="1">
      <c r="A39" s="1548">
        <f>التوصية!A263</f>
        <v>0</v>
      </c>
      <c r="B39" s="1548"/>
      <c r="C39" s="1548"/>
      <c r="D39" s="1548"/>
      <c r="E39" s="1548"/>
      <c r="F39" s="1548">
        <f>التوصية!B263</f>
        <v>0</v>
      </c>
      <c r="G39" s="1548"/>
      <c r="H39" s="1548"/>
      <c r="I39" s="1548">
        <f>التوصية!C263</f>
        <v>2015</v>
      </c>
      <c r="J39" s="1548"/>
      <c r="K39" s="1548">
        <f>التوصية!D263</f>
        <v>0</v>
      </c>
      <c r="L39" s="1548"/>
      <c r="M39" s="1548"/>
      <c r="N39" s="1548"/>
      <c r="O39" s="1548"/>
      <c r="R39" s="383">
        <f t="shared" si="2"/>
        <v>35</v>
      </c>
      <c r="S39" s="642" t="str">
        <f t="shared" si="13"/>
        <v>0/4/2024</v>
      </c>
    </row>
    <row r="40" spans="1:19" ht="24.95" customHeight="1">
      <c r="A40" s="1548">
        <f>التوصية!A264</f>
        <v>0</v>
      </c>
      <c r="B40" s="1548"/>
      <c r="C40" s="1548"/>
      <c r="D40" s="1548"/>
      <c r="E40" s="1548"/>
      <c r="F40" s="1548">
        <f>التوصية!B264</f>
        <v>0</v>
      </c>
      <c r="G40" s="1548"/>
      <c r="H40" s="1548"/>
      <c r="I40" s="1548">
        <f>التوصية!C264</f>
        <v>0</v>
      </c>
      <c r="J40" s="1548"/>
      <c r="K40" s="1548">
        <f>التوصية!D264</f>
        <v>0</v>
      </c>
      <c r="L40" s="1548"/>
      <c r="M40" s="1548"/>
      <c r="N40" s="1548"/>
      <c r="O40" s="1548"/>
      <c r="R40" s="383">
        <f t="shared" si="2"/>
        <v>36</v>
      </c>
      <c r="S40" s="642" t="str">
        <f t="shared" si="13"/>
        <v>0/5/2024</v>
      </c>
    </row>
    <row r="41" spans="1:19" ht="24.95" customHeight="1">
      <c r="A41" s="1548">
        <f>التوصية!A265</f>
        <v>0</v>
      </c>
      <c r="B41" s="1548"/>
      <c r="C41" s="1548"/>
      <c r="D41" s="1548"/>
      <c r="E41" s="1548"/>
      <c r="F41" s="1548">
        <f>التوصية!B265</f>
        <v>0</v>
      </c>
      <c r="G41" s="1548"/>
      <c r="H41" s="1548"/>
      <c r="I41" s="1548">
        <f>التوصية!C265</f>
        <v>0</v>
      </c>
      <c r="J41" s="1548"/>
      <c r="K41" s="1548">
        <f>التوصية!D265</f>
        <v>0</v>
      </c>
      <c r="L41" s="1548"/>
      <c r="M41" s="1548"/>
      <c r="N41" s="1548"/>
      <c r="O41" s="1548"/>
      <c r="R41" s="383">
        <f t="shared" si="2"/>
        <v>37</v>
      </c>
      <c r="S41" s="642" t="str">
        <f t="shared" si="13"/>
        <v>0/6/2024</v>
      </c>
    </row>
    <row r="42" spans="1:19" ht="24.95" customHeight="1">
      <c r="A42" s="1548">
        <f>التوصية!A266</f>
        <v>0</v>
      </c>
      <c r="B42" s="1548"/>
      <c r="C42" s="1548"/>
      <c r="D42" s="1548"/>
      <c r="E42" s="1548"/>
      <c r="F42" s="1548">
        <f>التوصية!B266</f>
        <v>0</v>
      </c>
      <c r="G42" s="1548"/>
      <c r="H42" s="1548"/>
      <c r="I42" s="1548">
        <f>التوصية!C266</f>
        <v>0</v>
      </c>
      <c r="J42" s="1548"/>
      <c r="K42" s="1548">
        <f>التوصية!D266</f>
        <v>0</v>
      </c>
      <c r="L42" s="1548"/>
      <c r="M42" s="1548"/>
      <c r="N42" s="1548"/>
      <c r="O42" s="1548"/>
      <c r="R42" s="383">
        <f t="shared" si="2"/>
        <v>38</v>
      </c>
      <c r="S42" s="642" t="str">
        <f t="shared" si="13"/>
        <v>0/7/2024</v>
      </c>
    </row>
    <row r="43" spans="1:19">
      <c r="A43" s="1548">
        <f>التوصية!A267</f>
        <v>0</v>
      </c>
      <c r="B43" s="1548"/>
      <c r="C43" s="1548"/>
      <c r="D43" s="1548"/>
      <c r="E43" s="1548"/>
      <c r="F43" s="1548">
        <f>التوصية!B267</f>
        <v>0</v>
      </c>
      <c r="G43" s="1548"/>
      <c r="H43" s="1548"/>
      <c r="I43" s="1548">
        <f>التوصية!C267</f>
        <v>0</v>
      </c>
      <c r="J43" s="1548"/>
      <c r="K43" s="1548">
        <f>التوصية!D267</f>
        <v>0</v>
      </c>
      <c r="L43" s="1548"/>
      <c r="M43" s="1548"/>
      <c r="N43" s="1548"/>
      <c r="O43" s="1548"/>
      <c r="R43" s="383">
        <f t="shared" si="2"/>
        <v>39</v>
      </c>
      <c r="S43" s="642" t="str">
        <f t="shared" si="13"/>
        <v>0/8/2024</v>
      </c>
    </row>
    <row r="44" spans="1:19">
      <c r="I44" s="629"/>
      <c r="J44" s="629"/>
      <c r="L44" s="629"/>
      <c r="N44" s="629"/>
      <c r="O44" s="623"/>
      <c r="R44" s="383">
        <f t="shared" si="2"/>
        <v>40</v>
      </c>
      <c r="S44" s="642" t="str">
        <f t="shared" si="13"/>
        <v>0/9/2024</v>
      </c>
    </row>
    <row r="45" spans="1:19">
      <c r="A45" s="629"/>
      <c r="B45" s="629"/>
      <c r="C45" s="629"/>
      <c r="D45" s="629"/>
      <c r="E45" s="629"/>
      <c r="F45" s="629"/>
      <c r="G45" s="623"/>
      <c r="H45" s="623"/>
      <c r="I45" s="629"/>
      <c r="J45" s="629"/>
      <c r="K45" s="629"/>
      <c r="L45" s="629"/>
      <c r="M45" s="629"/>
      <c r="N45" s="629"/>
      <c r="O45" s="623"/>
      <c r="R45" s="383">
        <f t="shared" si="2"/>
        <v>41</v>
      </c>
      <c r="S45" s="642" t="str">
        <f t="shared" si="13"/>
        <v>0/10/2024</v>
      </c>
    </row>
    <row r="46" spans="1:19">
      <c r="A46" s="629"/>
      <c r="B46" s="629"/>
      <c r="C46" s="629"/>
      <c r="D46" s="629"/>
      <c r="E46" s="629"/>
      <c r="F46" s="629"/>
      <c r="G46" s="623"/>
      <c r="H46" s="623"/>
      <c r="I46" s="629"/>
      <c r="J46" s="629"/>
      <c r="K46" s="629"/>
      <c r="L46" s="629"/>
      <c r="M46" s="629"/>
      <c r="N46" s="629"/>
      <c r="O46" s="623"/>
      <c r="R46" s="383">
        <f t="shared" si="2"/>
        <v>42</v>
      </c>
      <c r="S46" s="642" t="str">
        <f t="shared" si="13"/>
        <v>0/11/2024</v>
      </c>
    </row>
    <row r="47" spans="1:19">
      <c r="A47" s="629"/>
      <c r="B47" s="629"/>
      <c r="C47" s="629"/>
      <c r="D47" s="629"/>
      <c r="E47" s="629"/>
      <c r="F47" s="629"/>
      <c r="G47" s="623"/>
      <c r="H47" s="623"/>
      <c r="I47" s="629"/>
      <c r="J47" s="629"/>
      <c r="K47" s="629"/>
      <c r="L47" s="629"/>
      <c r="M47" s="629"/>
      <c r="N47" s="629"/>
      <c r="O47" s="623"/>
      <c r="R47" s="383">
        <f t="shared" si="2"/>
        <v>43</v>
      </c>
      <c r="S47" s="642" t="str">
        <f t="shared" si="13"/>
        <v>0/12/2024</v>
      </c>
    </row>
    <row r="48" spans="1:19">
      <c r="A48" s="629"/>
      <c r="B48" s="629"/>
      <c r="C48" s="629"/>
      <c r="D48" s="629"/>
      <c r="E48" s="629"/>
      <c r="F48" s="629"/>
      <c r="G48" s="623"/>
      <c r="H48" s="623"/>
      <c r="I48" s="629"/>
      <c r="J48" s="629"/>
      <c r="K48" s="629"/>
      <c r="L48" s="629"/>
      <c r="M48" s="629"/>
      <c r="N48" s="629"/>
      <c r="O48" s="623"/>
      <c r="R48" s="383">
        <f t="shared" si="2"/>
        <v>44</v>
      </c>
      <c r="S48" s="642" t="str">
        <f t="shared" si="13"/>
        <v>0/1/2025</v>
      </c>
    </row>
    <row r="49" spans="1:19">
      <c r="A49" s="629"/>
      <c r="B49" s="629"/>
      <c r="C49" s="629"/>
      <c r="D49" s="629"/>
      <c r="E49" s="629"/>
      <c r="F49" s="629"/>
      <c r="G49" s="623"/>
      <c r="H49" s="623"/>
      <c r="I49" s="629"/>
      <c r="J49" s="629"/>
      <c r="K49" s="629"/>
      <c r="L49" s="629"/>
      <c r="M49" s="629"/>
      <c r="N49" s="629"/>
      <c r="O49" s="623"/>
      <c r="R49" s="383">
        <f t="shared" si="2"/>
        <v>45</v>
      </c>
      <c r="S49" s="642" t="str">
        <f t="shared" si="13"/>
        <v>0/2/2025</v>
      </c>
    </row>
    <row r="50" spans="1:19">
      <c r="A50" s="629"/>
      <c r="B50" s="629"/>
      <c r="C50" s="629"/>
      <c r="D50" s="629"/>
      <c r="E50" s="629"/>
      <c r="F50" s="629"/>
      <c r="G50" s="623"/>
      <c r="H50" s="623"/>
      <c r="I50" s="629"/>
      <c r="J50" s="629"/>
      <c r="K50" s="629"/>
      <c r="L50" s="629"/>
      <c r="M50" s="629"/>
      <c r="N50" s="629"/>
      <c r="O50" s="623"/>
      <c r="R50" s="383">
        <f t="shared" si="2"/>
        <v>46</v>
      </c>
      <c r="S50" s="642" t="str">
        <f t="shared" si="13"/>
        <v>0/3/2025</v>
      </c>
    </row>
    <row r="51" spans="1:19">
      <c r="A51" s="629"/>
      <c r="B51" s="629"/>
      <c r="C51" s="629"/>
      <c r="D51" s="629"/>
      <c r="E51" s="629"/>
      <c r="F51" s="629"/>
      <c r="G51" s="623"/>
      <c r="H51" s="623"/>
      <c r="I51" s="629"/>
      <c r="J51" s="629"/>
      <c r="K51" s="629"/>
      <c r="L51" s="629"/>
      <c r="M51" s="629"/>
      <c r="N51" s="629"/>
      <c r="O51" s="623"/>
      <c r="R51" s="383">
        <f t="shared" si="2"/>
        <v>47</v>
      </c>
      <c r="S51" s="642" t="str">
        <f t="shared" si="13"/>
        <v>0/4/2025</v>
      </c>
    </row>
    <row r="52" spans="1:19">
      <c r="A52" s="629"/>
      <c r="B52" s="629"/>
      <c r="C52" s="629"/>
      <c r="D52" s="629"/>
      <c r="E52" s="629"/>
      <c r="F52" s="629"/>
      <c r="G52" s="623"/>
      <c r="H52" s="623"/>
      <c r="I52" s="629"/>
      <c r="J52" s="629"/>
      <c r="K52" s="629"/>
      <c r="L52" s="629"/>
      <c r="M52" s="629"/>
      <c r="N52" s="629"/>
      <c r="O52" s="623"/>
      <c r="R52" s="383">
        <f t="shared" si="2"/>
        <v>48</v>
      </c>
      <c r="S52" s="642" t="str">
        <f t="shared" si="13"/>
        <v/>
      </c>
    </row>
    <row r="53" spans="1:19">
      <c r="A53" s="629"/>
      <c r="B53" s="629"/>
      <c r="C53" s="629"/>
      <c r="D53" s="629"/>
      <c r="E53" s="629"/>
      <c r="F53" s="629"/>
      <c r="G53" s="623"/>
      <c r="H53" s="623"/>
      <c r="I53" s="629"/>
      <c r="J53" s="629"/>
      <c r="K53" s="629"/>
      <c r="L53" s="629"/>
      <c r="M53" s="629"/>
      <c r="N53" s="629"/>
      <c r="O53" s="623"/>
      <c r="R53" s="383">
        <f t="shared" si="2"/>
        <v>49</v>
      </c>
      <c r="S53" s="642" t="str">
        <f t="shared" si="13"/>
        <v/>
      </c>
    </row>
    <row r="54" spans="1:19">
      <c r="A54" s="629"/>
      <c r="B54" s="629"/>
      <c r="C54" s="629"/>
      <c r="D54" s="629"/>
      <c r="E54" s="629"/>
      <c r="F54" s="629"/>
      <c r="G54" s="623"/>
      <c r="H54" s="623"/>
      <c r="I54" s="629"/>
      <c r="J54" s="629"/>
      <c r="K54" s="629"/>
      <c r="L54" s="629"/>
      <c r="M54" s="629"/>
      <c r="N54" s="629"/>
      <c r="O54" s="623"/>
      <c r="R54" s="383">
        <f t="shared" si="2"/>
        <v>50</v>
      </c>
      <c r="S54" s="642" t="str">
        <f t="shared" si="13"/>
        <v/>
      </c>
    </row>
    <row r="55" spans="1:19">
      <c r="A55" s="629"/>
      <c r="B55" s="629"/>
      <c r="C55" s="629"/>
      <c r="D55" s="629"/>
      <c r="E55" s="629"/>
      <c r="F55" s="629"/>
      <c r="G55" s="623"/>
      <c r="H55" s="623"/>
      <c r="I55" s="629"/>
      <c r="J55" s="629"/>
      <c r="K55" s="629"/>
      <c r="L55" s="629"/>
      <c r="M55" s="629"/>
      <c r="N55" s="629"/>
      <c r="O55" s="623"/>
      <c r="R55" s="383">
        <f t="shared" si="2"/>
        <v>51</v>
      </c>
      <c r="S55" s="642" t="str">
        <f t="shared" si="13"/>
        <v/>
      </c>
    </row>
    <row r="56" spans="1:19">
      <c r="A56" s="629"/>
      <c r="B56" s="629"/>
      <c r="C56" s="629"/>
      <c r="D56" s="629"/>
      <c r="E56" s="629"/>
      <c r="F56" s="629"/>
      <c r="G56" s="623"/>
      <c r="H56" s="623"/>
      <c r="I56" s="629"/>
      <c r="J56" s="629"/>
      <c r="K56" s="629"/>
      <c r="L56" s="629"/>
      <c r="M56" s="629"/>
      <c r="N56" s="629"/>
      <c r="O56" s="623"/>
      <c r="R56" s="383">
        <f t="shared" si="2"/>
        <v>52</v>
      </c>
      <c r="S56" s="642" t="str">
        <f t="shared" si="13"/>
        <v/>
      </c>
    </row>
    <row r="57" spans="1:19">
      <c r="A57" s="629"/>
      <c r="B57" s="629"/>
      <c r="C57" s="629"/>
      <c r="D57" s="629"/>
      <c r="E57" s="629"/>
      <c r="F57" s="629"/>
      <c r="G57" s="623"/>
      <c r="H57" s="623"/>
      <c r="I57" s="629"/>
      <c r="J57" s="629"/>
      <c r="K57" s="629"/>
      <c r="L57" s="629"/>
      <c r="M57" s="629"/>
      <c r="N57" s="629"/>
      <c r="O57" s="623"/>
      <c r="R57" s="383">
        <f t="shared" si="2"/>
        <v>53</v>
      </c>
      <c r="S57" s="642" t="str">
        <f t="shared" si="13"/>
        <v/>
      </c>
    </row>
    <row r="58" spans="1:19">
      <c r="A58" s="629"/>
      <c r="B58" s="629"/>
      <c r="C58" s="629"/>
      <c r="D58" s="629"/>
      <c r="E58" s="629"/>
      <c r="F58" s="629"/>
      <c r="G58" s="623"/>
      <c r="H58" s="623"/>
      <c r="I58" s="629"/>
      <c r="J58" s="629"/>
      <c r="K58" s="629"/>
      <c r="L58" s="629"/>
      <c r="M58" s="629"/>
      <c r="N58" s="629"/>
      <c r="O58" s="623"/>
      <c r="R58" s="383">
        <f t="shared" si="2"/>
        <v>54</v>
      </c>
      <c r="S58" s="642" t="str">
        <f t="shared" si="13"/>
        <v/>
      </c>
    </row>
    <row r="59" spans="1:19">
      <c r="A59" s="629"/>
      <c r="B59" s="629"/>
      <c r="C59" s="629"/>
      <c r="D59" s="629"/>
      <c r="E59" s="629"/>
      <c r="F59" s="629"/>
      <c r="G59" s="623"/>
      <c r="H59" s="623"/>
      <c r="I59" s="629"/>
      <c r="J59" s="629"/>
      <c r="K59" s="629"/>
      <c r="L59" s="629"/>
      <c r="M59" s="629"/>
      <c r="N59" s="629"/>
      <c r="O59" s="623"/>
      <c r="R59" s="383">
        <f t="shared" si="2"/>
        <v>55</v>
      </c>
      <c r="S59" s="642" t="str">
        <f t="shared" si="13"/>
        <v/>
      </c>
    </row>
    <row r="60" spans="1:19">
      <c r="A60" s="629"/>
      <c r="B60" s="629"/>
      <c r="C60" s="629"/>
      <c r="D60" s="629"/>
      <c r="E60" s="629"/>
      <c r="F60" s="629"/>
      <c r="G60" s="623"/>
      <c r="H60" s="623"/>
      <c r="I60" s="629"/>
      <c r="J60" s="629"/>
      <c r="K60" s="629"/>
      <c r="L60" s="629"/>
      <c r="M60" s="629"/>
      <c r="N60" s="629"/>
      <c r="O60" s="623"/>
      <c r="R60" s="383">
        <f t="shared" si="2"/>
        <v>56</v>
      </c>
      <c r="S60" s="642" t="str">
        <f t="shared" si="13"/>
        <v/>
      </c>
    </row>
    <row r="61" spans="1:19">
      <c r="A61" s="629"/>
      <c r="B61" s="629"/>
      <c r="C61" s="629"/>
      <c r="D61" s="629"/>
      <c r="E61" s="629"/>
      <c r="F61" s="629"/>
      <c r="G61" s="623"/>
      <c r="H61" s="623"/>
      <c r="I61" s="629"/>
      <c r="J61" s="629"/>
      <c r="K61" s="629"/>
      <c r="L61" s="629"/>
      <c r="M61" s="629"/>
      <c r="N61" s="629"/>
      <c r="O61" s="623"/>
      <c r="R61" s="383">
        <f t="shared" si="2"/>
        <v>57</v>
      </c>
      <c r="S61" s="642" t="str">
        <f t="shared" si="13"/>
        <v/>
      </c>
    </row>
    <row r="62" spans="1:19">
      <c r="A62" s="629"/>
      <c r="B62" s="629"/>
      <c r="C62" s="629"/>
      <c r="D62" s="629"/>
      <c r="E62" s="629"/>
      <c r="F62" s="629"/>
      <c r="G62" s="623"/>
      <c r="H62" s="623"/>
      <c r="I62" s="629"/>
      <c r="J62" s="629"/>
      <c r="K62" s="629"/>
      <c r="L62" s="629"/>
      <c r="M62" s="629"/>
      <c r="N62" s="629"/>
      <c r="O62" s="623"/>
      <c r="R62" s="643">
        <f t="shared" si="2"/>
        <v>58</v>
      </c>
      <c r="S62" s="644" t="str">
        <f t="shared" si="13"/>
        <v/>
      </c>
    </row>
    <row r="63" spans="1:19">
      <c r="A63" s="629"/>
      <c r="B63" s="629"/>
      <c r="C63" s="629"/>
      <c r="D63" s="629"/>
      <c r="E63" s="629"/>
      <c r="F63" s="629"/>
      <c r="G63" s="623"/>
      <c r="H63" s="623"/>
      <c r="I63" s="629"/>
      <c r="J63" s="629"/>
      <c r="K63" s="629"/>
      <c r="L63" s="629"/>
      <c r="M63" s="629"/>
      <c r="N63" s="629"/>
      <c r="O63" s="623"/>
      <c r="R63" s="383">
        <f t="shared" si="2"/>
        <v>59</v>
      </c>
      <c r="S63" s="642" t="str">
        <f t="shared" ref="S63:S66" si="14">N34&amp;M34&amp;L34&amp;K34&amp;J34</f>
        <v/>
      </c>
    </row>
    <row r="64" spans="1:19">
      <c r="A64" s="629"/>
      <c r="B64" s="629"/>
      <c r="C64" s="629"/>
      <c r="D64" s="629"/>
      <c r="E64" s="629"/>
      <c r="F64" s="629"/>
      <c r="G64" s="623"/>
      <c r="H64" s="623"/>
      <c r="I64" s="629"/>
      <c r="J64" s="629"/>
      <c r="K64" s="629"/>
      <c r="L64" s="629"/>
      <c r="M64" s="629"/>
      <c r="N64" s="629"/>
      <c r="O64" s="623"/>
      <c r="R64" s="643">
        <f t="shared" si="2"/>
        <v>60</v>
      </c>
      <c r="S64" s="644" t="str">
        <f t="shared" si="14"/>
        <v/>
      </c>
    </row>
    <row r="65" spans="1:19">
      <c r="A65" s="629"/>
      <c r="B65" s="629"/>
      <c r="C65" s="629"/>
      <c r="D65" s="629"/>
      <c r="E65" s="629"/>
      <c r="F65" s="629"/>
      <c r="G65" s="623"/>
      <c r="H65" s="623"/>
      <c r="I65" s="629"/>
      <c r="J65" s="629"/>
      <c r="K65" s="629"/>
      <c r="L65" s="629"/>
      <c r="M65" s="629"/>
      <c r="N65" s="629"/>
      <c r="O65" s="623"/>
      <c r="R65" s="383">
        <f t="shared" si="2"/>
        <v>61</v>
      </c>
      <c r="S65" s="642" t="str">
        <f t="shared" si="14"/>
        <v/>
      </c>
    </row>
    <row r="66" spans="1:19">
      <c r="A66" s="629"/>
      <c r="B66" s="629"/>
      <c r="C66" s="629"/>
      <c r="D66" s="629"/>
      <c r="E66" s="629"/>
      <c r="F66" s="629"/>
      <c r="G66" s="623"/>
      <c r="H66" s="623"/>
      <c r="I66" s="629"/>
      <c r="J66" s="629"/>
      <c r="K66" s="629"/>
      <c r="L66" s="629"/>
      <c r="M66" s="629"/>
      <c r="N66" s="629"/>
      <c r="O66" s="623"/>
      <c r="R66" s="643">
        <f t="shared" si="2"/>
        <v>62</v>
      </c>
      <c r="S66" s="644" t="str">
        <f t="shared" si="14"/>
        <v/>
      </c>
    </row>
    <row r="67" spans="1:19">
      <c r="A67" s="629"/>
      <c r="B67" s="629"/>
      <c r="C67" s="629"/>
      <c r="D67" s="629"/>
      <c r="E67" s="629"/>
      <c r="F67" s="629"/>
      <c r="G67" s="623"/>
      <c r="H67" s="623"/>
      <c r="I67" s="629"/>
      <c r="J67" s="629"/>
      <c r="K67" s="629"/>
      <c r="L67" s="629"/>
      <c r="M67" s="629"/>
      <c r="N67" s="629"/>
      <c r="O67" s="623"/>
    </row>
    <row r="68" spans="1:19">
      <c r="A68" s="629"/>
      <c r="B68" s="629"/>
      <c r="C68" s="629"/>
      <c r="D68" s="629"/>
      <c r="E68" s="629"/>
      <c r="F68" s="629"/>
      <c r="G68" s="623"/>
      <c r="H68" s="623"/>
      <c r="I68" s="629"/>
      <c r="J68" s="629"/>
      <c r="K68" s="629"/>
      <c r="L68" s="629"/>
      <c r="M68" s="629"/>
      <c r="N68" s="629"/>
      <c r="O68" s="623"/>
    </row>
    <row r="69" spans="1:19">
      <c r="A69" s="629"/>
      <c r="B69" s="629"/>
      <c r="C69" s="629"/>
      <c r="D69" s="629"/>
      <c r="E69" s="629"/>
      <c r="F69" s="629"/>
      <c r="G69" s="623"/>
      <c r="H69" s="623"/>
      <c r="I69" s="629"/>
      <c r="J69" s="629"/>
      <c r="K69" s="629"/>
      <c r="L69" s="629"/>
      <c r="M69" s="629"/>
      <c r="N69" s="629"/>
      <c r="O69" s="623"/>
    </row>
    <row r="70" spans="1:19">
      <c r="A70" s="629"/>
      <c r="B70" s="629"/>
      <c r="C70" s="629"/>
      <c r="D70" s="629"/>
      <c r="E70" s="629"/>
      <c r="F70" s="629"/>
      <c r="G70" s="623"/>
      <c r="H70" s="623"/>
      <c r="I70" s="629"/>
      <c r="J70" s="629"/>
      <c r="K70" s="629"/>
      <c r="L70" s="629"/>
      <c r="M70" s="629"/>
      <c r="N70" s="629"/>
      <c r="O70" s="623"/>
    </row>
    <row r="71" spans="1:19">
      <c r="A71" s="629"/>
      <c r="B71" s="629"/>
      <c r="C71" s="629"/>
      <c r="D71" s="629"/>
      <c r="E71" s="629"/>
      <c r="F71" s="629"/>
      <c r="G71" s="623"/>
      <c r="H71" s="623"/>
      <c r="I71" s="629"/>
      <c r="J71" s="629"/>
      <c r="K71" s="629"/>
      <c r="L71" s="629"/>
      <c r="M71" s="629"/>
      <c r="N71" s="629"/>
      <c r="O71" s="623"/>
    </row>
    <row r="72" spans="1:19">
      <c r="A72" s="629"/>
      <c r="B72" s="629"/>
      <c r="C72" s="629"/>
      <c r="D72" s="629"/>
      <c r="E72" s="629"/>
      <c r="F72" s="629"/>
      <c r="G72" s="623"/>
      <c r="H72" s="623"/>
      <c r="I72" s="629"/>
      <c r="J72" s="629"/>
      <c r="K72" s="629"/>
      <c r="L72" s="629"/>
      <c r="M72" s="629"/>
      <c r="N72" s="629"/>
      <c r="O72" s="623"/>
    </row>
    <row r="73" spans="1:19">
      <c r="A73" s="629"/>
      <c r="B73" s="629"/>
      <c r="C73" s="629"/>
      <c r="D73" s="629"/>
      <c r="E73" s="629"/>
      <c r="F73" s="629"/>
      <c r="G73" s="623"/>
      <c r="H73" s="623"/>
      <c r="K73" s="629"/>
      <c r="M73" s="629"/>
    </row>
    <row r="74" spans="1:19">
      <c r="A74" s="629"/>
      <c r="B74" s="629"/>
      <c r="C74" s="629"/>
      <c r="D74" s="629"/>
      <c r="E74" s="629"/>
      <c r="F74" s="629"/>
      <c r="G74" s="623"/>
      <c r="H74" s="623"/>
      <c r="K74" s="629"/>
      <c r="M74" s="629"/>
    </row>
    <row r="75" spans="1:19">
      <c r="A75" s="629"/>
      <c r="B75" s="629"/>
      <c r="C75" s="629"/>
      <c r="D75" s="629"/>
      <c r="E75" s="629"/>
      <c r="F75" s="629"/>
      <c r="G75" s="623"/>
      <c r="H75" s="623"/>
      <c r="K75" s="629"/>
      <c r="M75" s="629"/>
    </row>
    <row r="76" spans="1:19">
      <c r="A76" s="629"/>
      <c r="B76" s="629"/>
      <c r="C76" s="629"/>
      <c r="D76" s="629"/>
      <c r="E76" s="629"/>
      <c r="F76" s="629"/>
      <c r="G76" s="623"/>
      <c r="H76" s="623"/>
      <c r="K76" s="629"/>
      <c r="M76" s="629"/>
    </row>
    <row r="77" spans="1:19">
      <c r="A77" s="629"/>
      <c r="B77" s="629"/>
      <c r="C77" s="629"/>
      <c r="D77" s="629"/>
      <c r="E77" s="629"/>
      <c r="F77" s="629"/>
      <c r="G77" s="623"/>
      <c r="H77" s="623"/>
      <c r="K77" s="629"/>
      <c r="M77" s="629"/>
    </row>
    <row r="78" spans="1:19">
      <c r="A78" s="629"/>
      <c r="B78" s="629"/>
      <c r="C78" s="629"/>
      <c r="D78" s="629"/>
      <c r="E78" s="629"/>
      <c r="F78" s="629"/>
      <c r="G78" s="623"/>
      <c r="H78" s="623"/>
      <c r="K78" s="629"/>
      <c r="M78" s="629"/>
    </row>
    <row r="79" spans="1:19">
      <c r="A79" s="629"/>
      <c r="B79" s="629"/>
      <c r="C79" s="629"/>
      <c r="D79" s="629"/>
      <c r="E79" s="629"/>
      <c r="F79" s="629"/>
      <c r="G79" s="623"/>
      <c r="H79" s="623"/>
      <c r="K79" s="629"/>
      <c r="M79" s="629"/>
    </row>
    <row r="80" spans="1:19">
      <c r="A80" s="629"/>
      <c r="B80" s="629"/>
      <c r="C80" s="629"/>
      <c r="D80" s="629"/>
      <c r="E80" s="629"/>
      <c r="F80" s="629"/>
      <c r="G80" s="623"/>
      <c r="H80" s="623"/>
      <c r="K80" s="629"/>
      <c r="M80" s="629"/>
    </row>
    <row r="81" spans="1:13">
      <c r="A81" s="629"/>
      <c r="B81" s="629"/>
      <c r="C81" s="629"/>
      <c r="D81" s="629"/>
      <c r="E81" s="629"/>
      <c r="F81" s="629"/>
      <c r="G81" s="623"/>
      <c r="H81" s="623"/>
      <c r="K81" s="629"/>
      <c r="M81" s="629"/>
    </row>
    <row r="82" spans="1:13">
      <c r="A82" s="629"/>
      <c r="B82" s="629"/>
      <c r="C82" s="629"/>
      <c r="D82" s="629"/>
      <c r="E82" s="629"/>
      <c r="F82" s="629"/>
      <c r="G82" s="623"/>
      <c r="H82" s="623"/>
      <c r="K82" s="629"/>
      <c r="M82" s="629"/>
    </row>
    <row r="83" spans="1:13">
      <c r="A83" s="629"/>
      <c r="B83" s="629"/>
      <c r="C83" s="629"/>
      <c r="D83" s="629"/>
      <c r="E83" s="629"/>
      <c r="F83" s="629"/>
      <c r="G83" s="623"/>
      <c r="H83" s="623"/>
      <c r="K83" s="629"/>
      <c r="M83" s="629"/>
    </row>
    <row r="84" spans="1:13">
      <c r="A84" s="629"/>
      <c r="B84" s="629"/>
      <c r="C84" s="629"/>
      <c r="D84" s="629"/>
      <c r="E84" s="629"/>
      <c r="F84" s="629"/>
      <c r="G84" s="623"/>
      <c r="H84" s="623"/>
      <c r="K84" s="629"/>
      <c r="M84" s="629"/>
    </row>
    <row r="85" spans="1:13">
      <c r="A85" s="629"/>
      <c r="B85" s="629"/>
      <c r="C85" s="629"/>
      <c r="D85" s="629"/>
      <c r="E85" s="629"/>
      <c r="F85" s="629"/>
      <c r="G85" s="623"/>
      <c r="H85" s="623"/>
      <c r="K85" s="629"/>
      <c r="M85" s="629"/>
    </row>
    <row r="86" spans="1:13">
      <c r="A86" s="629"/>
      <c r="B86" s="629"/>
      <c r="C86" s="629"/>
      <c r="D86" s="629"/>
      <c r="E86" s="629"/>
      <c r="F86" s="629"/>
      <c r="G86" s="623"/>
      <c r="H86" s="623"/>
      <c r="K86" s="629"/>
      <c r="M86" s="629"/>
    </row>
    <row r="87" spans="1:13">
      <c r="A87" s="629"/>
      <c r="B87" s="629"/>
      <c r="C87" s="629"/>
      <c r="D87" s="629"/>
      <c r="E87" s="629"/>
      <c r="F87" s="629"/>
      <c r="G87" s="623"/>
      <c r="H87" s="623"/>
      <c r="K87" s="629"/>
      <c r="M87" s="629"/>
    </row>
    <row r="88" spans="1:13">
      <c r="A88" s="629"/>
      <c r="B88" s="629"/>
      <c r="C88" s="629"/>
      <c r="D88" s="629"/>
      <c r="E88" s="629"/>
      <c r="F88" s="629"/>
      <c r="G88" s="623"/>
      <c r="H88" s="623"/>
      <c r="K88" s="629"/>
      <c r="M88" s="629"/>
    </row>
    <row r="89" spans="1:13">
      <c r="A89" s="629"/>
      <c r="B89" s="629"/>
      <c r="C89" s="629"/>
      <c r="D89" s="629"/>
      <c r="E89" s="629"/>
      <c r="F89" s="629"/>
      <c r="G89" s="623"/>
      <c r="H89" s="623"/>
      <c r="K89" s="629"/>
      <c r="M89" s="629"/>
    </row>
    <row r="90" spans="1:13">
      <c r="A90" s="629"/>
      <c r="B90" s="629"/>
      <c r="C90" s="629"/>
      <c r="D90" s="629"/>
      <c r="E90" s="629"/>
      <c r="F90" s="629"/>
      <c r="G90" s="623"/>
      <c r="H90" s="623"/>
      <c r="K90" s="629"/>
      <c r="M90" s="629"/>
    </row>
    <row r="91" spans="1:13">
      <c r="A91" s="629"/>
      <c r="B91" s="629"/>
      <c r="C91" s="629"/>
      <c r="D91" s="629"/>
      <c r="E91" s="629"/>
      <c r="F91" s="629"/>
      <c r="G91" s="623"/>
      <c r="H91" s="623"/>
      <c r="K91" s="629"/>
      <c r="M91" s="629"/>
    </row>
    <row r="92" spans="1:13">
      <c r="A92" s="629"/>
      <c r="B92" s="629"/>
      <c r="C92" s="629"/>
      <c r="D92" s="629"/>
      <c r="E92" s="629"/>
      <c r="F92" s="629"/>
      <c r="G92" s="623"/>
      <c r="H92" s="623"/>
      <c r="K92" s="629"/>
      <c r="M92" s="629"/>
    </row>
    <row r="93" spans="1:13">
      <c r="A93" s="629"/>
      <c r="B93" s="629"/>
      <c r="C93" s="629"/>
      <c r="D93" s="629"/>
      <c r="E93" s="629"/>
      <c r="F93" s="629"/>
      <c r="G93" s="623"/>
      <c r="H93" s="623"/>
      <c r="K93" s="629"/>
      <c r="M93" s="629"/>
    </row>
    <row r="94" spans="1:13">
      <c r="A94" s="629"/>
      <c r="B94" s="629"/>
      <c r="C94" s="629"/>
      <c r="D94" s="629"/>
      <c r="E94" s="629"/>
      <c r="F94" s="629"/>
      <c r="G94" s="623"/>
      <c r="H94" s="623"/>
      <c r="K94" s="629"/>
      <c r="M94" s="629"/>
    </row>
    <row r="95" spans="1:13">
      <c r="A95" s="629"/>
      <c r="B95" s="629"/>
      <c r="C95" s="629"/>
      <c r="D95" s="629"/>
      <c r="E95" s="629"/>
      <c r="F95" s="629"/>
      <c r="G95" s="623"/>
      <c r="H95" s="623"/>
      <c r="K95" s="629"/>
      <c r="M95" s="629"/>
    </row>
    <row r="96" spans="1:13">
      <c r="A96" s="629"/>
      <c r="B96" s="629"/>
      <c r="C96" s="629"/>
      <c r="D96" s="629"/>
      <c r="E96" s="629"/>
      <c r="F96" s="629"/>
      <c r="G96" s="623"/>
      <c r="H96" s="623"/>
      <c r="K96" s="629"/>
      <c r="M96" s="629"/>
    </row>
    <row r="97" spans="1:13">
      <c r="A97" s="629"/>
      <c r="B97" s="629"/>
      <c r="C97" s="629"/>
      <c r="D97" s="629"/>
      <c r="E97" s="629"/>
      <c r="F97" s="629"/>
      <c r="G97" s="623"/>
      <c r="H97" s="623"/>
      <c r="K97" s="629"/>
      <c r="M97" s="629"/>
    </row>
    <row r="98" spans="1:13">
      <c r="A98" s="629"/>
      <c r="B98" s="629"/>
      <c r="C98" s="629"/>
      <c r="D98" s="629"/>
      <c r="E98" s="629"/>
      <c r="F98" s="629"/>
      <c r="G98" s="623"/>
      <c r="H98" s="623"/>
      <c r="K98" s="629"/>
      <c r="M98" s="629"/>
    </row>
    <row r="99" spans="1:13">
      <c r="A99" s="629"/>
      <c r="B99" s="629"/>
      <c r="C99" s="629"/>
      <c r="D99" s="629"/>
      <c r="E99" s="629"/>
      <c r="F99" s="629"/>
      <c r="G99" s="623"/>
      <c r="H99" s="623"/>
      <c r="K99" s="629"/>
      <c r="M99" s="629"/>
    </row>
    <row r="100" spans="1:13">
      <c r="A100" s="629"/>
      <c r="B100" s="629"/>
      <c r="C100" s="629"/>
      <c r="D100" s="629"/>
      <c r="E100" s="629"/>
      <c r="F100" s="629"/>
      <c r="G100" s="623"/>
      <c r="H100" s="623"/>
      <c r="K100" s="629"/>
      <c r="M100" s="629"/>
    </row>
    <row r="101" spans="1:13">
      <c r="A101" s="629"/>
      <c r="B101" s="629"/>
      <c r="C101" s="629"/>
      <c r="D101" s="629"/>
      <c r="E101" s="629"/>
      <c r="F101" s="629"/>
      <c r="G101" s="623"/>
      <c r="H101" s="623"/>
      <c r="K101" s="629"/>
      <c r="M101" s="629"/>
    </row>
    <row r="102" spans="1:13">
      <c r="A102" s="629"/>
      <c r="B102" s="629"/>
      <c r="C102" s="629"/>
      <c r="D102" s="629"/>
      <c r="E102" s="629"/>
      <c r="F102" s="629"/>
      <c r="G102" s="623"/>
      <c r="H102" s="623"/>
      <c r="K102" s="629"/>
      <c r="M102" s="629"/>
    </row>
    <row r="103" spans="1:13">
      <c r="A103" s="629"/>
      <c r="B103" s="629"/>
      <c r="C103" s="629"/>
      <c r="D103" s="629"/>
      <c r="E103" s="629"/>
      <c r="F103" s="629"/>
      <c r="G103" s="623"/>
      <c r="H103" s="623"/>
      <c r="K103" s="629"/>
      <c r="M103" s="629"/>
    </row>
    <row r="104" spans="1:13">
      <c r="A104" s="629"/>
      <c r="B104" s="629"/>
      <c r="C104" s="629"/>
      <c r="D104" s="629"/>
      <c r="E104" s="629"/>
      <c r="F104" s="629"/>
      <c r="G104" s="623"/>
      <c r="H104" s="623"/>
      <c r="K104" s="629"/>
      <c r="M104" s="629"/>
    </row>
  </sheetData>
  <mergeCells count="34">
    <mergeCell ref="A1:O1"/>
    <mergeCell ref="B3:F3"/>
    <mergeCell ref="J3:N3"/>
    <mergeCell ref="I35:N35"/>
    <mergeCell ref="A37:O37"/>
    <mergeCell ref="B2:O2"/>
    <mergeCell ref="A3:A4"/>
    <mergeCell ref="G3:G4"/>
    <mergeCell ref="O3:O4"/>
    <mergeCell ref="I3:I4"/>
    <mergeCell ref="I40:J40"/>
    <mergeCell ref="I41:J41"/>
    <mergeCell ref="I42:J42"/>
    <mergeCell ref="I43:J43"/>
    <mergeCell ref="K39:O39"/>
    <mergeCell ref="K40:O40"/>
    <mergeCell ref="K41:O41"/>
    <mergeCell ref="K42:O42"/>
    <mergeCell ref="A38:E38"/>
    <mergeCell ref="F38:H38"/>
    <mergeCell ref="I38:J38"/>
    <mergeCell ref="K38:O38"/>
    <mergeCell ref="F43:H43"/>
    <mergeCell ref="A39:E39"/>
    <mergeCell ref="A40:E40"/>
    <mergeCell ref="A41:E41"/>
    <mergeCell ref="A42:E42"/>
    <mergeCell ref="A43:E43"/>
    <mergeCell ref="F39:H39"/>
    <mergeCell ref="F40:H40"/>
    <mergeCell ref="F41:H41"/>
    <mergeCell ref="F42:H42"/>
    <mergeCell ref="K43:O43"/>
    <mergeCell ref="I39:J39"/>
  </mergeCells>
  <conditionalFormatting sqref="G5:G34 O5:O35">
    <cfRule type="expression" dxfId="36" priority="4">
      <formula>FC=ILS</formula>
    </cfRule>
    <cfRule type="expression" dxfId="35" priority="5">
      <formula>FC=USD</formula>
    </cfRule>
    <cfRule type="expression" dxfId="34" priority="6">
      <formula>FC=EUR</formula>
    </cfRule>
  </conditionalFormatting>
  <conditionalFormatting sqref="B5">
    <cfRule type="expression" dxfId="33" priority="3">
      <formula>B5=""</formula>
    </cfRule>
  </conditionalFormatting>
  <conditionalFormatting sqref="D5">
    <cfRule type="expression" dxfId="32" priority="2">
      <formula>D5=""</formula>
    </cfRule>
  </conditionalFormatting>
  <conditionalFormatting sqref="F5">
    <cfRule type="expression" dxfId="31" priority="1">
      <formula>F5=""</formula>
    </cfRule>
  </conditionalFormatting>
  <pageMargins left="0.7" right="0.7" top="0.75" bottom="0.75" header="0.3" footer="0.3"/>
  <pageSetup orientation="portrait" r:id="rId1"/>
  <headerFooter>
    <oddFooter>&amp;Lالكفلاء
_______________________________&amp;Cالفريق الثاني
_______________________________&amp;Rالفريق الاول
_______________________________</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T12"/>
  <sheetViews>
    <sheetView rightToLeft="1" topLeftCell="G1" workbookViewId="0">
      <selection activeCell="P3" sqref="P3"/>
    </sheetView>
  </sheetViews>
  <sheetFormatPr defaultRowHeight="15"/>
  <cols>
    <col min="10" max="10" width="11.140625" bestFit="1" customWidth="1"/>
    <col min="11" max="11" width="9.85546875" customWidth="1"/>
    <col min="12" max="12" width="13.28515625" bestFit="1" customWidth="1"/>
    <col min="15" max="15" width="13.42578125" bestFit="1" customWidth="1"/>
    <col min="16" max="16" width="13.42578125" customWidth="1"/>
    <col min="17" max="17" width="9.85546875" customWidth="1"/>
    <col min="18" max="18" width="13.28515625" bestFit="1" customWidth="1"/>
    <col min="21" max="21" width="13.42578125" bestFit="1" customWidth="1"/>
    <col min="22" max="22" width="9.85546875" customWidth="1"/>
    <col min="23" max="23" width="13.28515625" bestFit="1" customWidth="1"/>
    <col min="26" max="26" width="13.42578125" bestFit="1" customWidth="1"/>
    <col min="27" max="27" width="9.85546875" customWidth="1"/>
    <col min="28" max="28" width="13.28515625" bestFit="1" customWidth="1"/>
    <col min="31" max="31" width="13.42578125" bestFit="1" customWidth="1"/>
    <col min="32" max="32" width="9.85546875" customWidth="1"/>
    <col min="33" max="33" width="13.28515625" bestFit="1" customWidth="1"/>
    <col min="36" max="36" width="13.42578125" bestFit="1" customWidth="1"/>
    <col min="37" max="37" width="9.85546875" customWidth="1"/>
    <col min="38" max="38" width="13.28515625" bestFit="1" customWidth="1"/>
    <col min="41" max="41" width="13.42578125" bestFit="1" customWidth="1"/>
    <col min="42" max="42" width="9.85546875" customWidth="1"/>
    <col min="43" max="43" width="13.28515625" bestFit="1" customWidth="1"/>
    <col min="46" max="46" width="13.42578125" bestFit="1" customWidth="1"/>
  </cols>
  <sheetData>
    <row r="1" spans="1:46">
      <c r="A1">
        <v>1</v>
      </c>
      <c r="B1" t="s">
        <v>1454</v>
      </c>
      <c r="C1" t="s">
        <v>1455</v>
      </c>
      <c r="D1" t="s">
        <v>1456</v>
      </c>
      <c r="E1" t="s">
        <v>1457</v>
      </c>
      <c r="F1" t="s">
        <v>1458</v>
      </c>
      <c r="G1" t="s">
        <v>1459</v>
      </c>
      <c r="H1" t="s">
        <v>1460</v>
      </c>
      <c r="K1">
        <v>1</v>
      </c>
      <c r="Q1">
        <v>1</v>
      </c>
      <c r="V1">
        <v>1</v>
      </c>
      <c r="AA1">
        <v>1</v>
      </c>
      <c r="AF1">
        <v>1</v>
      </c>
      <c r="AK1">
        <v>1</v>
      </c>
      <c r="AP1">
        <v>1</v>
      </c>
    </row>
    <row r="2" spans="1:46">
      <c r="A2">
        <f>A1+1</f>
        <v>2</v>
      </c>
      <c r="B2" t="s">
        <v>1461</v>
      </c>
      <c r="C2" t="s">
        <v>1462</v>
      </c>
      <c r="D2" t="s">
        <v>1463</v>
      </c>
      <c r="E2" t="s">
        <v>1464</v>
      </c>
      <c r="F2" t="s">
        <v>1465</v>
      </c>
      <c r="G2" t="s">
        <v>1466</v>
      </c>
      <c r="H2" t="s">
        <v>1467</v>
      </c>
      <c r="J2" s="979" t="s">
        <v>1519</v>
      </c>
      <c r="K2" s="979" t="s">
        <v>1520</v>
      </c>
      <c r="L2" s="979" t="s">
        <v>1475</v>
      </c>
      <c r="M2" s="981" t="s">
        <v>1482</v>
      </c>
      <c r="N2" s="981"/>
      <c r="O2" s="981" t="s">
        <v>1527</v>
      </c>
      <c r="P2" s="981"/>
      <c r="Q2" s="979" t="s">
        <v>1521</v>
      </c>
      <c r="R2" s="979" t="s">
        <v>1475</v>
      </c>
      <c r="S2" s="981" t="s">
        <v>1482</v>
      </c>
      <c r="T2" s="981"/>
      <c r="U2" s="981" t="s">
        <v>1527</v>
      </c>
      <c r="V2" s="979" t="s">
        <v>1522</v>
      </c>
      <c r="W2" s="979" t="s">
        <v>1475</v>
      </c>
      <c r="X2" s="981" t="s">
        <v>1482</v>
      </c>
      <c r="Y2" s="981"/>
      <c r="Z2" s="981" t="s">
        <v>1527</v>
      </c>
      <c r="AA2" s="979" t="s">
        <v>1523</v>
      </c>
      <c r="AB2" s="979" t="s">
        <v>1475</v>
      </c>
      <c r="AC2" s="981" t="s">
        <v>1482</v>
      </c>
      <c r="AD2" s="981"/>
      <c r="AE2" s="981" t="s">
        <v>1527</v>
      </c>
      <c r="AF2" s="979" t="s">
        <v>1524</v>
      </c>
      <c r="AG2" s="979" t="s">
        <v>1475</v>
      </c>
      <c r="AH2" s="981" t="s">
        <v>1482</v>
      </c>
      <c r="AI2" s="981"/>
      <c r="AJ2" s="981" t="s">
        <v>1527</v>
      </c>
      <c r="AK2" s="979" t="s">
        <v>1525</v>
      </c>
      <c r="AL2" s="979" t="s">
        <v>1475</v>
      </c>
      <c r="AM2" s="981" t="s">
        <v>1482</v>
      </c>
      <c r="AN2" s="981"/>
      <c r="AO2" s="981" t="s">
        <v>1527</v>
      </c>
      <c r="AP2" s="979" t="s">
        <v>1526</v>
      </c>
      <c r="AQ2" s="979" t="s">
        <v>1475</v>
      </c>
      <c r="AR2" s="981" t="s">
        <v>1482</v>
      </c>
      <c r="AS2" s="981"/>
      <c r="AT2" s="981" t="s">
        <v>1527</v>
      </c>
    </row>
    <row r="3" spans="1:46">
      <c r="A3">
        <f t="shared" ref="A3:A9" si="0">A2+1</f>
        <v>3</v>
      </c>
      <c r="B3" t="s">
        <v>1468</v>
      </c>
      <c r="C3" t="s">
        <v>1469</v>
      </c>
      <c r="D3" t="s">
        <v>1470</v>
      </c>
      <c r="E3" t="s">
        <v>1471</v>
      </c>
      <c r="F3" t="s">
        <v>1473</v>
      </c>
      <c r="G3" t="s">
        <v>1472</v>
      </c>
      <c r="H3" t="s">
        <v>1474</v>
      </c>
      <c r="J3" s="978">
        <v>1</v>
      </c>
      <c r="K3">
        <f>IFERROR(FIND($J3,$I$11,K$1),"")</f>
        <v>2</v>
      </c>
      <c r="L3">
        <f>IFERROR(LEN($I$11)+2-K3,"")</f>
        <v>6</v>
      </c>
      <c r="M3" s="979" t="str">
        <f>IFERROR(VLOOKUP($J3,$A$1:$H$8,L3,FALSE),"")</f>
        <v>عشر الاف</v>
      </c>
      <c r="N3" s="979">
        <v>1</v>
      </c>
      <c r="O3" s="979" t="str">
        <f>IFERROR(VLOOKUP(SMALL(L$3:L$11,N3),L$3:M$11,2,FALSE),"")</f>
        <v>ثلاثة الاف</v>
      </c>
      <c r="P3" s="980">
        <f>IFERROR(SMALL(K$3:K$11,N3),"")</f>
        <v>1</v>
      </c>
      <c r="Q3" t="str">
        <f t="shared" ref="Q3:Q11" si="1">IFERROR(FIND($J3,$I$11,K3+Q$1),"")</f>
        <v/>
      </c>
      <c r="R3" t="str">
        <f>IFERROR(LEN($I$11)+2-Q3,"")</f>
        <v/>
      </c>
      <c r="S3" s="979" t="str">
        <f>IFERROR(VLOOKUP($J3,$A$1:$H$8,R3,FALSE),"")</f>
        <v/>
      </c>
      <c r="T3" s="979">
        <v>1</v>
      </c>
      <c r="U3" s="979" t="str">
        <f>IFERROR(VLOOKUP(SMALL(R$3:R$11,T3),R$3:S$11,2,FALSE),"")</f>
        <v>اثنان</v>
      </c>
      <c r="V3" t="str">
        <f t="shared" ref="V3:V11" si="2">IFERROR(FIND($J3,$I$11,Q3+V$1),"")</f>
        <v/>
      </c>
      <c r="W3" t="str">
        <f>IFERROR(LEN($I$11)+2-V3,"")</f>
        <v/>
      </c>
      <c r="X3" s="979" t="str">
        <f>IFERROR(VLOOKUP($J3,$A$1:$H$8,W3,FALSE),"")</f>
        <v/>
      </c>
      <c r="Y3" s="979">
        <v>1</v>
      </c>
      <c r="Z3" s="979" t="str">
        <f>IFERROR(VLOOKUP(SMALL(W$3:W$11,Y3),W$3:X$11,2,FALSE),"")</f>
        <v>ثلاثون</v>
      </c>
      <c r="AA3" t="str">
        <f t="shared" ref="AA3:AA11" si="3">IFERROR(FIND($J3,$I$11,V3+AA$1),"")</f>
        <v/>
      </c>
      <c r="AB3" t="str">
        <f>IFERROR(LEN($I$11)+2-AA3,"")</f>
        <v/>
      </c>
      <c r="AC3" s="979" t="str">
        <f>IFERROR(VLOOKUP($J3,$A$1:$H$8,AB3,FALSE),"")</f>
        <v/>
      </c>
      <c r="AD3" s="979">
        <v>1</v>
      </c>
      <c r="AE3" s="979" t="str">
        <f>IFERROR(VLOOKUP(SMALL(AB$3:AB$11,AD3),AB$3:AC$11,2,FALSE),"")</f>
        <v/>
      </c>
      <c r="AF3" t="str">
        <f t="shared" ref="AF3:AF11" si="4">IFERROR(FIND($J3,$I$11,AA3+AF$1),"")</f>
        <v/>
      </c>
      <c r="AG3" t="str">
        <f>IFERROR(LEN($I$11)+2-AF3,"")</f>
        <v/>
      </c>
      <c r="AH3" s="979" t="str">
        <f>IFERROR(VLOOKUP($J3,$A$1:$H$8,AG3,FALSE),"")</f>
        <v/>
      </c>
      <c r="AI3" s="979">
        <v>1</v>
      </c>
      <c r="AJ3" s="979" t="str">
        <f>IFERROR(VLOOKUP(SMALL(AG$3:AG$11,AI3),AG$3:AH$11,2,FALSE),"")</f>
        <v/>
      </c>
      <c r="AK3" t="str">
        <f t="shared" ref="AK3:AK11" si="5">IFERROR(FIND($J3,$I$11,AF3+AK$1),"")</f>
        <v/>
      </c>
      <c r="AL3" t="str">
        <f>IFERROR(LEN($I$11)+2-AK3,"")</f>
        <v/>
      </c>
      <c r="AM3" s="979" t="str">
        <f>IFERROR(VLOOKUP($J3,$A$1:$H$8,AL3,FALSE),"")</f>
        <v/>
      </c>
      <c r="AN3" s="979">
        <v>1</v>
      </c>
      <c r="AO3" s="979" t="str">
        <f>IFERROR(VLOOKUP(SMALL(AL$3:AL$11,AN3),AL$3:AM$11,2,FALSE),"")</f>
        <v/>
      </c>
      <c r="AP3" t="str">
        <f t="shared" ref="AP3" si="6">IFERROR(FIND($J3,$I$11,AK3+AP$1),"")</f>
        <v/>
      </c>
      <c r="AQ3" t="str">
        <f>IFERROR(LEN($I$11)+2-AP3,"")</f>
        <v/>
      </c>
      <c r="AR3" s="979" t="str">
        <f>IFERROR(VLOOKUP($J3,$A$1:$H$8,AQ3,FALSE),"")</f>
        <v/>
      </c>
      <c r="AS3" s="979">
        <v>1</v>
      </c>
      <c r="AT3" s="979" t="str">
        <f>IFERROR(VLOOKUP(SMALL(AQ$3:AQ$11,AS3),AQ$3:AR$11,2,FALSE),"")</f>
        <v/>
      </c>
    </row>
    <row r="4" spans="1:46">
      <c r="A4">
        <f t="shared" si="0"/>
        <v>4</v>
      </c>
      <c r="B4" t="s">
        <v>1478</v>
      </c>
      <c r="C4" t="s">
        <v>1483</v>
      </c>
      <c r="D4" t="s">
        <v>1484</v>
      </c>
      <c r="E4" t="s">
        <v>1503</v>
      </c>
      <c r="F4" t="s">
        <v>1485</v>
      </c>
      <c r="G4" t="s">
        <v>1486</v>
      </c>
      <c r="H4" t="s">
        <v>1487</v>
      </c>
      <c r="J4" s="978">
        <f>J3+1</f>
        <v>2</v>
      </c>
      <c r="K4">
        <f t="shared" ref="K4:K11" si="7">IFERROR(FIND($J4,$I$11,K$1),"")</f>
        <v>1</v>
      </c>
      <c r="L4">
        <f t="shared" ref="L4:L11" si="8">IFERROR(LEN($I$11)+2-K4,"")</f>
        <v>7</v>
      </c>
      <c r="M4" s="979" t="str">
        <f t="shared" ref="M4:M11" si="9">IFERROR(VLOOKUP($J4,$A$1:$H$8,L4,FALSE),"")</f>
        <v>مئتا الف</v>
      </c>
      <c r="N4" s="979">
        <f>N3+1</f>
        <v>2</v>
      </c>
      <c r="O4" s="979" t="str">
        <f t="shared" ref="O4:O11" si="10">IFERROR(VLOOKUP(SMALL(L$3:L$11,N4),L$3:M$11,2,FALSE),"")</f>
        <v>عشر الاف</v>
      </c>
      <c r="P4">
        <f t="shared" ref="P4:P11" si="11">IFERROR(SMALL(K$3:K$11,N4),"")</f>
        <v>2</v>
      </c>
      <c r="Q4">
        <f t="shared" si="1"/>
        <v>6</v>
      </c>
      <c r="R4">
        <f t="shared" ref="R4:R11" si="12">IFERROR(LEN($I$11)+2-Q4,"")</f>
        <v>2</v>
      </c>
      <c r="S4" s="979" t="str">
        <f t="shared" ref="S4:S11" si="13">IFERROR(VLOOKUP($J4,$A$1:$H$8,R4,FALSE),"")</f>
        <v>اثنان</v>
      </c>
      <c r="T4" s="979">
        <f>T3+1</f>
        <v>2</v>
      </c>
      <c r="U4" s="979" t="str">
        <f t="shared" ref="U4:U11" si="14">IFERROR(VLOOKUP(SMALL(R$3:R$11,T4),R$3:S$11,2,FALSE),"")</f>
        <v>ثلاثمائة</v>
      </c>
      <c r="V4" t="str">
        <f t="shared" si="2"/>
        <v/>
      </c>
      <c r="W4" t="str">
        <f t="shared" ref="W4:W11" si="15">IFERROR(LEN($I$11)+2-V4,"")</f>
        <v/>
      </c>
      <c r="X4" s="979" t="str">
        <f t="shared" ref="X4:X11" si="16">IFERROR(VLOOKUP($J4,$A$1:$H$8,W4,FALSE),"")</f>
        <v/>
      </c>
      <c r="Y4" s="979">
        <f>Y3+1</f>
        <v>2</v>
      </c>
      <c r="Z4" s="979" t="str">
        <f t="shared" ref="Z4:Z11" si="17">IFERROR(VLOOKUP(SMALL(W$3:W$11,Y4),W$3:X$11,2,FALSE),"")</f>
        <v/>
      </c>
      <c r="AA4" t="str">
        <f t="shared" si="3"/>
        <v/>
      </c>
      <c r="AB4" t="str">
        <f t="shared" ref="AB4:AB11" si="18">IFERROR(LEN($I$11)+2-AA4,"")</f>
        <v/>
      </c>
      <c r="AC4" s="979" t="str">
        <f t="shared" ref="AC4:AC11" si="19">IFERROR(VLOOKUP($J4,$A$1:$H$8,AB4,FALSE),"")</f>
        <v/>
      </c>
      <c r="AD4" s="979">
        <f>AD3+1</f>
        <v>2</v>
      </c>
      <c r="AE4" s="979" t="str">
        <f t="shared" ref="AE4:AE11" si="20">IFERROR(VLOOKUP(SMALL(AB$3:AB$11,AD4),AB$3:AC$11,2,FALSE),"")</f>
        <v/>
      </c>
      <c r="AF4" t="str">
        <f t="shared" si="4"/>
        <v/>
      </c>
      <c r="AG4" t="str">
        <f t="shared" ref="AG4:AG11" si="21">IFERROR(LEN($I$11)+2-AF4,"")</f>
        <v/>
      </c>
      <c r="AH4" s="979" t="str">
        <f t="shared" ref="AH4:AH11" si="22">IFERROR(VLOOKUP($J4,$A$1:$H$8,AG4,FALSE),"")</f>
        <v/>
      </c>
      <c r="AI4" s="979">
        <f>AI3+1</f>
        <v>2</v>
      </c>
      <c r="AJ4" s="979" t="str">
        <f t="shared" ref="AJ4:AJ11" si="23">IFERROR(VLOOKUP(SMALL(AG$3:AG$11,AI4),AG$3:AH$11,2,FALSE),"")</f>
        <v/>
      </c>
      <c r="AK4" t="str">
        <f t="shared" si="5"/>
        <v/>
      </c>
      <c r="AL4" t="str">
        <f t="shared" ref="AL4:AL11" si="24">IFERROR(LEN($I$11)+2-AK4,"")</f>
        <v/>
      </c>
      <c r="AM4" s="979" t="str">
        <f t="shared" ref="AM4:AM11" si="25">IFERROR(VLOOKUP($J4,$A$1:$H$8,AL4,FALSE),"")</f>
        <v/>
      </c>
      <c r="AN4" s="979">
        <f>AN3+1</f>
        <v>2</v>
      </c>
      <c r="AO4" s="979" t="str">
        <f t="shared" ref="AO4:AO11" si="26">IFERROR(VLOOKUP(SMALL(AL$3:AL$11,AN4),AL$3:AM$11,2,FALSE),"")</f>
        <v/>
      </c>
      <c r="AP4" t="str">
        <f t="shared" ref="AP4" si="27">IFERROR(FIND($J4,$I$11,AK4+AP$1),"")</f>
        <v/>
      </c>
      <c r="AQ4" t="str">
        <f t="shared" ref="AQ4:AQ11" si="28">IFERROR(LEN($I$11)+2-AP4,"")</f>
        <v/>
      </c>
      <c r="AR4" s="979" t="str">
        <f t="shared" ref="AR4:AR11" si="29">IFERROR(VLOOKUP($J4,$A$1:$H$8,AQ4,FALSE),"")</f>
        <v/>
      </c>
      <c r="AS4" s="979">
        <f>AS3+1</f>
        <v>2</v>
      </c>
      <c r="AT4" s="979" t="str">
        <f t="shared" ref="AT4:AT11" si="30">IFERROR(VLOOKUP(SMALL(AQ$3:AQ$11,AS4),AQ$3:AR$11,2,FALSE),"")</f>
        <v/>
      </c>
    </row>
    <row r="5" spans="1:46">
      <c r="A5">
        <f t="shared" si="0"/>
        <v>5</v>
      </c>
      <c r="B5" t="s">
        <v>1477</v>
      </c>
      <c r="C5" t="s">
        <v>1488</v>
      </c>
      <c r="D5" t="s">
        <v>1489</v>
      </c>
      <c r="E5" t="s">
        <v>1490</v>
      </c>
      <c r="F5" t="s">
        <v>1492</v>
      </c>
      <c r="G5" t="s">
        <v>1491</v>
      </c>
      <c r="H5" t="s">
        <v>1493</v>
      </c>
      <c r="J5" s="978">
        <f t="shared" ref="J5:J11" si="31">J4+1</f>
        <v>3</v>
      </c>
      <c r="K5">
        <f t="shared" si="7"/>
        <v>3</v>
      </c>
      <c r="L5">
        <f t="shared" si="8"/>
        <v>5</v>
      </c>
      <c r="M5" s="979" t="str">
        <f>IFERROR(VLOOKUP($J5,$A$1:$H$8,L5,FALSE),"")</f>
        <v>ثلاثة الاف</v>
      </c>
      <c r="N5" s="979">
        <f t="shared" ref="N5:N11" si="32">N4+1</f>
        <v>3</v>
      </c>
      <c r="O5" s="979" t="str">
        <f t="shared" si="10"/>
        <v>مئتا الف</v>
      </c>
      <c r="P5">
        <f t="shared" si="11"/>
        <v>3</v>
      </c>
      <c r="Q5">
        <f t="shared" si="1"/>
        <v>4</v>
      </c>
      <c r="R5">
        <f t="shared" si="12"/>
        <v>4</v>
      </c>
      <c r="S5" s="979" t="str">
        <f>IFERROR(VLOOKUP($J5,$A$1:$H$8,R5,FALSE),"")</f>
        <v>ثلاثمائة</v>
      </c>
      <c r="T5" s="979">
        <f t="shared" ref="T5:T11" si="33">T4+1</f>
        <v>3</v>
      </c>
      <c r="U5" s="979" t="str">
        <f t="shared" si="14"/>
        <v/>
      </c>
      <c r="V5">
        <f t="shared" si="2"/>
        <v>5</v>
      </c>
      <c r="W5">
        <f t="shared" si="15"/>
        <v>3</v>
      </c>
      <c r="X5" s="979" t="str">
        <f>IFERROR(VLOOKUP($J5,$A$1:$H$8,W5,FALSE),"")</f>
        <v>ثلاثون</v>
      </c>
      <c r="Y5" s="979">
        <f t="shared" ref="Y5:Y11" si="34">Y4+1</f>
        <v>3</v>
      </c>
      <c r="Z5" s="979" t="str">
        <f t="shared" si="17"/>
        <v/>
      </c>
      <c r="AA5" t="str">
        <f t="shared" si="3"/>
        <v/>
      </c>
      <c r="AB5" t="str">
        <f t="shared" si="18"/>
        <v/>
      </c>
      <c r="AC5" s="979" t="str">
        <f>IFERROR(VLOOKUP($J5,$A$1:$H$8,AB5,FALSE),"")</f>
        <v/>
      </c>
      <c r="AD5" s="979">
        <f t="shared" ref="AD5:AD11" si="35">AD4+1</f>
        <v>3</v>
      </c>
      <c r="AE5" s="979" t="str">
        <f t="shared" si="20"/>
        <v/>
      </c>
      <c r="AF5" t="str">
        <f t="shared" si="4"/>
        <v/>
      </c>
      <c r="AG5" t="str">
        <f t="shared" si="21"/>
        <v/>
      </c>
      <c r="AH5" s="979" t="str">
        <f>IFERROR(VLOOKUP($J5,$A$1:$H$8,AG5,FALSE),"")</f>
        <v/>
      </c>
      <c r="AI5" s="979">
        <f t="shared" ref="AI5:AI11" si="36">AI4+1</f>
        <v>3</v>
      </c>
      <c r="AJ5" s="979" t="str">
        <f t="shared" si="23"/>
        <v/>
      </c>
      <c r="AK5" t="str">
        <f t="shared" si="5"/>
        <v/>
      </c>
      <c r="AL5" t="str">
        <f t="shared" si="24"/>
        <v/>
      </c>
      <c r="AM5" s="979" t="str">
        <f>IFERROR(VLOOKUP($J5,$A$1:$H$8,AL5,FALSE),"")</f>
        <v/>
      </c>
      <c r="AN5" s="979">
        <f t="shared" ref="AN5:AN11" si="37">AN4+1</f>
        <v>3</v>
      </c>
      <c r="AO5" s="979" t="str">
        <f t="shared" si="26"/>
        <v/>
      </c>
      <c r="AP5" t="str">
        <f t="shared" ref="AP5" si="38">IFERROR(FIND($J5,$I$11,AK5+AP$1),"")</f>
        <v/>
      </c>
      <c r="AQ5" t="str">
        <f t="shared" si="28"/>
        <v/>
      </c>
      <c r="AR5" s="979" t="str">
        <f>IFERROR(VLOOKUP($J5,$A$1:$H$8,AQ5,FALSE),"")</f>
        <v/>
      </c>
      <c r="AS5" s="979">
        <f t="shared" ref="AS5:AS11" si="39">AS4+1</f>
        <v>3</v>
      </c>
      <c r="AT5" s="979" t="str">
        <f t="shared" si="30"/>
        <v/>
      </c>
    </row>
    <row r="6" spans="1:46">
      <c r="A6">
        <f t="shared" si="0"/>
        <v>6</v>
      </c>
      <c r="B6" t="s">
        <v>1476</v>
      </c>
      <c r="C6" t="s">
        <v>1494</v>
      </c>
      <c r="D6" t="s">
        <v>1495</v>
      </c>
      <c r="E6" t="s">
        <v>1497</v>
      </c>
      <c r="F6" t="s">
        <v>1496</v>
      </c>
      <c r="G6" t="s">
        <v>1498</v>
      </c>
      <c r="H6" t="s">
        <v>1499</v>
      </c>
      <c r="J6" s="978">
        <f t="shared" si="31"/>
        <v>4</v>
      </c>
      <c r="K6" t="str">
        <f t="shared" si="7"/>
        <v/>
      </c>
      <c r="L6" t="str">
        <f t="shared" si="8"/>
        <v/>
      </c>
      <c r="M6" s="979" t="str">
        <f t="shared" si="9"/>
        <v/>
      </c>
      <c r="N6" s="979">
        <f t="shared" si="32"/>
        <v>4</v>
      </c>
      <c r="O6" s="979" t="str">
        <f t="shared" si="10"/>
        <v/>
      </c>
      <c r="P6" t="str">
        <f t="shared" si="11"/>
        <v/>
      </c>
      <c r="Q6" t="str">
        <f t="shared" si="1"/>
        <v/>
      </c>
      <c r="R6" t="str">
        <f t="shared" si="12"/>
        <v/>
      </c>
      <c r="S6" s="979" t="str">
        <f t="shared" si="13"/>
        <v/>
      </c>
      <c r="T6" s="979">
        <f t="shared" si="33"/>
        <v>4</v>
      </c>
      <c r="U6" s="979" t="str">
        <f t="shared" si="14"/>
        <v/>
      </c>
      <c r="V6" t="str">
        <f t="shared" si="2"/>
        <v/>
      </c>
      <c r="W6" t="str">
        <f t="shared" si="15"/>
        <v/>
      </c>
      <c r="X6" s="979" t="str">
        <f t="shared" si="16"/>
        <v/>
      </c>
      <c r="Y6" s="979">
        <f t="shared" si="34"/>
        <v>4</v>
      </c>
      <c r="Z6" s="979" t="str">
        <f t="shared" si="17"/>
        <v/>
      </c>
      <c r="AA6" t="str">
        <f t="shared" si="3"/>
        <v/>
      </c>
      <c r="AB6" t="str">
        <f t="shared" si="18"/>
        <v/>
      </c>
      <c r="AC6" s="979" t="str">
        <f t="shared" si="19"/>
        <v/>
      </c>
      <c r="AD6" s="979">
        <f t="shared" si="35"/>
        <v>4</v>
      </c>
      <c r="AE6" s="979" t="str">
        <f t="shared" si="20"/>
        <v/>
      </c>
      <c r="AF6" t="str">
        <f t="shared" si="4"/>
        <v/>
      </c>
      <c r="AG6" t="str">
        <f t="shared" si="21"/>
        <v/>
      </c>
      <c r="AH6" s="979" t="str">
        <f t="shared" si="22"/>
        <v/>
      </c>
      <c r="AI6" s="979">
        <f t="shared" si="36"/>
        <v>4</v>
      </c>
      <c r="AJ6" s="979" t="str">
        <f t="shared" si="23"/>
        <v/>
      </c>
      <c r="AK6" t="str">
        <f t="shared" si="5"/>
        <v/>
      </c>
      <c r="AL6" t="str">
        <f t="shared" si="24"/>
        <v/>
      </c>
      <c r="AM6" s="979" t="str">
        <f t="shared" si="25"/>
        <v/>
      </c>
      <c r="AN6" s="979">
        <f t="shared" si="37"/>
        <v>4</v>
      </c>
      <c r="AO6" s="979" t="str">
        <f t="shared" si="26"/>
        <v/>
      </c>
      <c r="AP6" t="str">
        <f t="shared" ref="AP6" si="40">IFERROR(FIND($J6,$I$11,AK6+AP$1),"")</f>
        <v/>
      </c>
      <c r="AQ6" t="str">
        <f t="shared" si="28"/>
        <v/>
      </c>
      <c r="AR6" s="979" t="str">
        <f t="shared" si="29"/>
        <v/>
      </c>
      <c r="AS6" s="979">
        <f t="shared" si="39"/>
        <v>4</v>
      </c>
      <c r="AT6" s="979" t="str">
        <f t="shared" si="30"/>
        <v/>
      </c>
    </row>
    <row r="7" spans="1:46">
      <c r="A7">
        <f t="shared" si="0"/>
        <v>7</v>
      </c>
      <c r="B7" t="s">
        <v>1479</v>
      </c>
      <c r="C7" t="s">
        <v>1500</v>
      </c>
      <c r="D7" t="s">
        <v>1501</v>
      </c>
      <c r="E7" t="s">
        <v>1504</v>
      </c>
      <c r="F7" t="s">
        <v>1502</v>
      </c>
      <c r="G7" t="s">
        <v>1505</v>
      </c>
      <c r="H7" t="s">
        <v>1506</v>
      </c>
      <c r="J7" s="978">
        <f t="shared" si="31"/>
        <v>5</v>
      </c>
      <c r="K7" t="str">
        <f t="shared" si="7"/>
        <v/>
      </c>
      <c r="L7" t="str">
        <f t="shared" si="8"/>
        <v/>
      </c>
      <c r="M7" s="979" t="str">
        <f t="shared" si="9"/>
        <v/>
      </c>
      <c r="N7" s="979">
        <f t="shared" si="32"/>
        <v>5</v>
      </c>
      <c r="O7" s="979" t="str">
        <f t="shared" si="10"/>
        <v/>
      </c>
      <c r="P7" t="str">
        <f t="shared" si="11"/>
        <v/>
      </c>
      <c r="Q7" t="str">
        <f t="shared" si="1"/>
        <v/>
      </c>
      <c r="R7" t="str">
        <f t="shared" si="12"/>
        <v/>
      </c>
      <c r="S7" s="979" t="str">
        <f t="shared" si="13"/>
        <v/>
      </c>
      <c r="T7" s="979">
        <f t="shared" si="33"/>
        <v>5</v>
      </c>
      <c r="U7" s="979" t="str">
        <f t="shared" si="14"/>
        <v/>
      </c>
      <c r="V7" t="str">
        <f t="shared" si="2"/>
        <v/>
      </c>
      <c r="W7" t="str">
        <f t="shared" si="15"/>
        <v/>
      </c>
      <c r="X7" s="979" t="str">
        <f t="shared" si="16"/>
        <v/>
      </c>
      <c r="Y7" s="979">
        <f t="shared" si="34"/>
        <v>5</v>
      </c>
      <c r="Z7" s="979" t="str">
        <f t="shared" si="17"/>
        <v/>
      </c>
      <c r="AA7" t="str">
        <f t="shared" si="3"/>
        <v/>
      </c>
      <c r="AB7" t="str">
        <f t="shared" si="18"/>
        <v/>
      </c>
      <c r="AC7" s="979" t="str">
        <f t="shared" si="19"/>
        <v/>
      </c>
      <c r="AD7" s="979">
        <f t="shared" si="35"/>
        <v>5</v>
      </c>
      <c r="AE7" s="979" t="str">
        <f t="shared" si="20"/>
        <v/>
      </c>
      <c r="AF7" t="str">
        <f t="shared" si="4"/>
        <v/>
      </c>
      <c r="AG7" t="str">
        <f t="shared" si="21"/>
        <v/>
      </c>
      <c r="AH7" s="979" t="str">
        <f t="shared" si="22"/>
        <v/>
      </c>
      <c r="AI7" s="979">
        <f t="shared" si="36"/>
        <v>5</v>
      </c>
      <c r="AJ7" s="979" t="str">
        <f t="shared" si="23"/>
        <v/>
      </c>
      <c r="AK7" t="str">
        <f t="shared" si="5"/>
        <v/>
      </c>
      <c r="AL7" t="str">
        <f t="shared" si="24"/>
        <v/>
      </c>
      <c r="AM7" s="979" t="str">
        <f t="shared" si="25"/>
        <v/>
      </c>
      <c r="AN7" s="979">
        <f t="shared" si="37"/>
        <v>5</v>
      </c>
      <c r="AO7" s="979" t="str">
        <f t="shared" si="26"/>
        <v/>
      </c>
      <c r="AP7" t="str">
        <f t="shared" ref="AP7" si="41">IFERROR(FIND($J7,$I$11,AK7+AP$1),"")</f>
        <v/>
      </c>
      <c r="AQ7" t="str">
        <f t="shared" si="28"/>
        <v/>
      </c>
      <c r="AR7" s="979" t="str">
        <f t="shared" si="29"/>
        <v/>
      </c>
      <c r="AS7" s="979">
        <f t="shared" si="39"/>
        <v>5</v>
      </c>
      <c r="AT7" s="979" t="str">
        <f t="shared" si="30"/>
        <v/>
      </c>
    </row>
    <row r="8" spans="1:46">
      <c r="A8">
        <f t="shared" si="0"/>
        <v>8</v>
      </c>
      <c r="B8" t="s">
        <v>1480</v>
      </c>
      <c r="C8" t="s">
        <v>1507</v>
      </c>
      <c r="D8" t="s">
        <v>1508</v>
      </c>
      <c r="E8" t="s">
        <v>1510</v>
      </c>
      <c r="F8" t="s">
        <v>1509</v>
      </c>
      <c r="G8" t="s">
        <v>1511</v>
      </c>
      <c r="H8" t="s">
        <v>1512</v>
      </c>
      <c r="J8" s="978">
        <f t="shared" si="31"/>
        <v>6</v>
      </c>
      <c r="K8" t="str">
        <f t="shared" si="7"/>
        <v/>
      </c>
      <c r="L8" t="str">
        <f t="shared" si="8"/>
        <v/>
      </c>
      <c r="M8" s="979" t="str">
        <f t="shared" si="9"/>
        <v/>
      </c>
      <c r="N8" s="979">
        <f t="shared" si="32"/>
        <v>6</v>
      </c>
      <c r="O8" s="979" t="str">
        <f t="shared" si="10"/>
        <v/>
      </c>
      <c r="P8" t="str">
        <f t="shared" si="11"/>
        <v/>
      </c>
      <c r="Q8" t="str">
        <f t="shared" si="1"/>
        <v/>
      </c>
      <c r="R8" t="str">
        <f t="shared" si="12"/>
        <v/>
      </c>
      <c r="S8" s="979" t="str">
        <f t="shared" si="13"/>
        <v/>
      </c>
      <c r="T8" s="979">
        <f t="shared" si="33"/>
        <v>6</v>
      </c>
      <c r="U8" s="979" t="str">
        <f t="shared" si="14"/>
        <v/>
      </c>
      <c r="V8" t="str">
        <f t="shared" si="2"/>
        <v/>
      </c>
      <c r="W8" t="str">
        <f t="shared" si="15"/>
        <v/>
      </c>
      <c r="X8" s="979" t="str">
        <f t="shared" si="16"/>
        <v/>
      </c>
      <c r="Y8" s="979">
        <f t="shared" si="34"/>
        <v>6</v>
      </c>
      <c r="Z8" s="979" t="str">
        <f t="shared" si="17"/>
        <v/>
      </c>
      <c r="AA8" t="str">
        <f t="shared" si="3"/>
        <v/>
      </c>
      <c r="AB8" t="str">
        <f t="shared" si="18"/>
        <v/>
      </c>
      <c r="AC8" s="979" t="str">
        <f t="shared" si="19"/>
        <v/>
      </c>
      <c r="AD8" s="979">
        <f t="shared" si="35"/>
        <v>6</v>
      </c>
      <c r="AE8" s="979" t="str">
        <f t="shared" si="20"/>
        <v/>
      </c>
      <c r="AF8" t="str">
        <f t="shared" si="4"/>
        <v/>
      </c>
      <c r="AG8" t="str">
        <f t="shared" si="21"/>
        <v/>
      </c>
      <c r="AH8" s="979" t="str">
        <f t="shared" si="22"/>
        <v/>
      </c>
      <c r="AI8" s="979">
        <f t="shared" si="36"/>
        <v>6</v>
      </c>
      <c r="AJ8" s="979" t="str">
        <f t="shared" si="23"/>
        <v/>
      </c>
      <c r="AK8" t="str">
        <f t="shared" si="5"/>
        <v/>
      </c>
      <c r="AL8" t="str">
        <f t="shared" si="24"/>
        <v/>
      </c>
      <c r="AM8" s="979" t="str">
        <f t="shared" si="25"/>
        <v/>
      </c>
      <c r="AN8" s="979">
        <f t="shared" si="37"/>
        <v>6</v>
      </c>
      <c r="AO8" s="979" t="str">
        <f t="shared" si="26"/>
        <v/>
      </c>
      <c r="AP8" t="str">
        <f t="shared" ref="AP8" si="42">IFERROR(FIND($J8,$I$11,AK8+AP$1),"")</f>
        <v/>
      </c>
      <c r="AQ8" t="str">
        <f t="shared" si="28"/>
        <v/>
      </c>
      <c r="AR8" s="979" t="str">
        <f t="shared" si="29"/>
        <v/>
      </c>
      <c r="AS8" s="979">
        <f t="shared" si="39"/>
        <v>6</v>
      </c>
      <c r="AT8" s="979" t="str">
        <f t="shared" si="30"/>
        <v/>
      </c>
    </row>
    <row r="9" spans="1:46">
      <c r="A9">
        <f t="shared" si="0"/>
        <v>9</v>
      </c>
      <c r="B9" t="s">
        <v>1481</v>
      </c>
      <c r="C9" t="s">
        <v>1513</v>
      </c>
      <c r="D9" t="s">
        <v>1514</v>
      </c>
      <c r="E9" t="s">
        <v>1517</v>
      </c>
      <c r="F9" t="s">
        <v>1515</v>
      </c>
      <c r="G9" t="s">
        <v>1516</v>
      </c>
      <c r="H9" t="s">
        <v>1518</v>
      </c>
      <c r="J9" s="978">
        <f t="shared" si="31"/>
        <v>7</v>
      </c>
      <c r="K9" t="str">
        <f t="shared" si="7"/>
        <v/>
      </c>
      <c r="L9" t="str">
        <f t="shared" si="8"/>
        <v/>
      </c>
      <c r="M9" s="979" t="str">
        <f t="shared" si="9"/>
        <v/>
      </c>
      <c r="N9" s="979">
        <f t="shared" si="32"/>
        <v>7</v>
      </c>
      <c r="O9" s="979" t="str">
        <f t="shared" si="10"/>
        <v/>
      </c>
      <c r="P9" t="str">
        <f t="shared" si="11"/>
        <v/>
      </c>
      <c r="Q9" t="str">
        <f t="shared" si="1"/>
        <v/>
      </c>
      <c r="R9" t="str">
        <f t="shared" si="12"/>
        <v/>
      </c>
      <c r="S9" s="979" t="str">
        <f t="shared" si="13"/>
        <v/>
      </c>
      <c r="T9" s="979">
        <f t="shared" si="33"/>
        <v>7</v>
      </c>
      <c r="U9" s="979" t="str">
        <f t="shared" si="14"/>
        <v/>
      </c>
      <c r="V9" t="str">
        <f t="shared" si="2"/>
        <v/>
      </c>
      <c r="W9" t="str">
        <f t="shared" si="15"/>
        <v/>
      </c>
      <c r="X9" s="979" t="str">
        <f t="shared" si="16"/>
        <v/>
      </c>
      <c r="Y9" s="979">
        <f t="shared" si="34"/>
        <v>7</v>
      </c>
      <c r="Z9" s="979" t="str">
        <f t="shared" si="17"/>
        <v/>
      </c>
      <c r="AA9" t="str">
        <f t="shared" si="3"/>
        <v/>
      </c>
      <c r="AB9" t="str">
        <f t="shared" si="18"/>
        <v/>
      </c>
      <c r="AC9" s="979" t="str">
        <f t="shared" si="19"/>
        <v/>
      </c>
      <c r="AD9" s="979">
        <f t="shared" si="35"/>
        <v>7</v>
      </c>
      <c r="AE9" s="979" t="str">
        <f t="shared" si="20"/>
        <v/>
      </c>
      <c r="AF9" t="str">
        <f t="shared" si="4"/>
        <v/>
      </c>
      <c r="AG9" t="str">
        <f t="shared" si="21"/>
        <v/>
      </c>
      <c r="AH9" s="979" t="str">
        <f t="shared" si="22"/>
        <v/>
      </c>
      <c r="AI9" s="979">
        <f t="shared" si="36"/>
        <v>7</v>
      </c>
      <c r="AJ9" s="979" t="str">
        <f t="shared" si="23"/>
        <v/>
      </c>
      <c r="AK9" t="str">
        <f t="shared" si="5"/>
        <v/>
      </c>
      <c r="AL9" t="str">
        <f t="shared" si="24"/>
        <v/>
      </c>
      <c r="AM9" s="979" t="str">
        <f t="shared" si="25"/>
        <v/>
      </c>
      <c r="AN9" s="979">
        <f t="shared" si="37"/>
        <v>7</v>
      </c>
      <c r="AO9" s="979" t="str">
        <f t="shared" si="26"/>
        <v/>
      </c>
      <c r="AP9" t="str">
        <f t="shared" ref="AP9" si="43">IFERROR(FIND($J9,$I$11,AK9+AP$1),"")</f>
        <v/>
      </c>
      <c r="AQ9" t="str">
        <f t="shared" si="28"/>
        <v/>
      </c>
      <c r="AR9" s="979" t="str">
        <f t="shared" si="29"/>
        <v/>
      </c>
      <c r="AS9" s="979">
        <f t="shared" si="39"/>
        <v>7</v>
      </c>
      <c r="AT9" s="979" t="str">
        <f t="shared" si="30"/>
        <v/>
      </c>
    </row>
    <row r="10" spans="1:46">
      <c r="J10" s="978">
        <f t="shared" si="31"/>
        <v>8</v>
      </c>
      <c r="K10" t="str">
        <f t="shared" si="7"/>
        <v/>
      </c>
      <c r="L10" t="str">
        <f t="shared" si="8"/>
        <v/>
      </c>
      <c r="M10" s="979" t="str">
        <f t="shared" si="9"/>
        <v/>
      </c>
      <c r="N10" s="979">
        <f t="shared" si="32"/>
        <v>8</v>
      </c>
      <c r="O10" s="979" t="str">
        <f t="shared" si="10"/>
        <v/>
      </c>
      <c r="P10" t="str">
        <f t="shared" si="11"/>
        <v/>
      </c>
      <c r="Q10" t="str">
        <f t="shared" si="1"/>
        <v/>
      </c>
      <c r="R10" t="str">
        <f t="shared" si="12"/>
        <v/>
      </c>
      <c r="S10" s="979" t="str">
        <f t="shared" si="13"/>
        <v/>
      </c>
      <c r="T10" s="979">
        <f t="shared" si="33"/>
        <v>8</v>
      </c>
      <c r="U10" s="979" t="str">
        <f t="shared" si="14"/>
        <v/>
      </c>
      <c r="V10" t="str">
        <f t="shared" si="2"/>
        <v/>
      </c>
      <c r="W10" t="str">
        <f t="shared" si="15"/>
        <v/>
      </c>
      <c r="X10" s="979" t="str">
        <f t="shared" si="16"/>
        <v/>
      </c>
      <c r="Y10" s="979">
        <f t="shared" si="34"/>
        <v>8</v>
      </c>
      <c r="Z10" s="979" t="str">
        <f t="shared" si="17"/>
        <v/>
      </c>
      <c r="AA10" t="str">
        <f t="shared" si="3"/>
        <v/>
      </c>
      <c r="AB10" t="str">
        <f t="shared" si="18"/>
        <v/>
      </c>
      <c r="AC10" s="979" t="str">
        <f t="shared" si="19"/>
        <v/>
      </c>
      <c r="AD10" s="979">
        <f t="shared" si="35"/>
        <v>8</v>
      </c>
      <c r="AE10" s="979" t="str">
        <f t="shared" si="20"/>
        <v/>
      </c>
      <c r="AF10" t="str">
        <f t="shared" si="4"/>
        <v/>
      </c>
      <c r="AG10" t="str">
        <f t="shared" si="21"/>
        <v/>
      </c>
      <c r="AH10" s="979" t="str">
        <f t="shared" si="22"/>
        <v/>
      </c>
      <c r="AI10" s="979">
        <f t="shared" si="36"/>
        <v>8</v>
      </c>
      <c r="AJ10" s="979" t="str">
        <f t="shared" si="23"/>
        <v/>
      </c>
      <c r="AK10" t="str">
        <f t="shared" si="5"/>
        <v/>
      </c>
      <c r="AL10" t="str">
        <f t="shared" si="24"/>
        <v/>
      </c>
      <c r="AM10" s="979" t="str">
        <f t="shared" si="25"/>
        <v/>
      </c>
      <c r="AN10" s="979">
        <f t="shared" si="37"/>
        <v>8</v>
      </c>
      <c r="AO10" s="979" t="str">
        <f t="shared" si="26"/>
        <v/>
      </c>
      <c r="AP10" t="str">
        <f t="shared" ref="AP10" si="44">IFERROR(FIND($J10,$I$11,AK10+AP$1),"")</f>
        <v/>
      </c>
      <c r="AQ10" t="str">
        <f t="shared" si="28"/>
        <v/>
      </c>
      <c r="AR10" s="979" t="str">
        <f t="shared" si="29"/>
        <v/>
      </c>
      <c r="AS10" s="979">
        <f t="shared" si="39"/>
        <v>8</v>
      </c>
      <c r="AT10" s="979" t="str">
        <f t="shared" si="30"/>
        <v/>
      </c>
    </row>
    <row r="11" spans="1:46">
      <c r="I11" s="980">
        <v>213332</v>
      </c>
      <c r="J11" s="978">
        <f t="shared" si="31"/>
        <v>9</v>
      </c>
      <c r="K11" t="str">
        <f t="shared" si="7"/>
        <v/>
      </c>
      <c r="L11" t="str">
        <f t="shared" si="8"/>
        <v/>
      </c>
      <c r="M11" s="979" t="str">
        <f t="shared" si="9"/>
        <v/>
      </c>
      <c r="N11" s="979">
        <f t="shared" si="32"/>
        <v>9</v>
      </c>
      <c r="O11" s="979" t="str">
        <f t="shared" si="10"/>
        <v/>
      </c>
      <c r="P11" t="str">
        <f t="shared" si="11"/>
        <v/>
      </c>
      <c r="Q11" t="str">
        <f t="shared" si="1"/>
        <v/>
      </c>
      <c r="R11" t="str">
        <f t="shared" si="12"/>
        <v/>
      </c>
      <c r="S11" s="979" t="str">
        <f t="shared" si="13"/>
        <v/>
      </c>
      <c r="T11" s="979">
        <f t="shared" si="33"/>
        <v>9</v>
      </c>
      <c r="U11" s="979" t="str">
        <f t="shared" si="14"/>
        <v/>
      </c>
      <c r="V11" t="str">
        <f t="shared" si="2"/>
        <v/>
      </c>
      <c r="W11" t="str">
        <f t="shared" si="15"/>
        <v/>
      </c>
      <c r="X11" s="979" t="str">
        <f t="shared" si="16"/>
        <v/>
      </c>
      <c r="Y11" s="979">
        <f t="shared" si="34"/>
        <v>9</v>
      </c>
      <c r="Z11" s="979" t="str">
        <f t="shared" si="17"/>
        <v/>
      </c>
      <c r="AA11" t="str">
        <f t="shared" si="3"/>
        <v/>
      </c>
      <c r="AB11" t="str">
        <f t="shared" si="18"/>
        <v/>
      </c>
      <c r="AC11" s="979" t="str">
        <f t="shared" si="19"/>
        <v/>
      </c>
      <c r="AD11" s="979">
        <f t="shared" si="35"/>
        <v>9</v>
      </c>
      <c r="AE11" s="979" t="str">
        <f t="shared" si="20"/>
        <v/>
      </c>
      <c r="AF11" t="str">
        <f t="shared" si="4"/>
        <v/>
      </c>
      <c r="AG11" t="str">
        <f t="shared" si="21"/>
        <v/>
      </c>
      <c r="AH11" s="979" t="str">
        <f t="shared" si="22"/>
        <v/>
      </c>
      <c r="AI11" s="979">
        <f t="shared" si="36"/>
        <v>9</v>
      </c>
      <c r="AJ11" s="979" t="str">
        <f t="shared" si="23"/>
        <v/>
      </c>
      <c r="AK11" t="str">
        <f t="shared" si="5"/>
        <v/>
      </c>
      <c r="AL11" t="str">
        <f t="shared" si="24"/>
        <v/>
      </c>
      <c r="AM11" s="979" t="str">
        <f t="shared" si="25"/>
        <v/>
      </c>
      <c r="AN11" s="979">
        <f t="shared" si="37"/>
        <v>9</v>
      </c>
      <c r="AO11" s="979" t="str">
        <f t="shared" si="26"/>
        <v/>
      </c>
      <c r="AP11" t="str">
        <f t="shared" ref="AP11" si="45">IFERROR(FIND($J11,$I$11,AK11+AP$1),"")</f>
        <v/>
      </c>
      <c r="AQ11" t="str">
        <f t="shared" si="28"/>
        <v/>
      </c>
      <c r="AR11" s="979" t="str">
        <f t="shared" si="29"/>
        <v/>
      </c>
      <c r="AS11" s="979">
        <f t="shared" si="39"/>
        <v>9</v>
      </c>
      <c r="AT11" s="979" t="str">
        <f t="shared" si="30"/>
        <v/>
      </c>
    </row>
    <row r="12" spans="1:46">
      <c r="O12" s="982" t="str">
        <f>IF(O3&lt;&gt;"",O3,"")&amp;IF(O4&lt;&gt;""," و","")&amp;IF(O4&lt;&gt;"",O4,"")&amp;IF(O5&lt;&gt;""," و","")&amp;IF(O5&lt;&gt;"",O5,"")&amp;IF(O6&lt;&gt;""," و","")&amp;IF(O6&lt;&gt;"",O6,"")&amp;IF(O7&lt;&gt;""," و","")&amp;IF(O7&lt;&gt;"",O7,"")&amp;IF(O8&lt;&gt;""," و","")&amp;IF(O8&lt;&gt;"",O8,"")&amp;IF(O9&lt;&gt;""," و","")&amp;IF(O9&lt;&gt;"",O9,"")&amp;IF(O10&lt;&gt;""," و","")&amp;IF(O10&lt;&gt;"",O10,"")&amp;IF(O11&lt;&gt;""," و","")</f>
        <v>ثلاثة الاف وعشر الاف ومئتا الف</v>
      </c>
      <c r="P12" s="982"/>
      <c r="U12" s="982" t="str">
        <f>IF(U3&lt;&gt;"",U3,"")&amp;IF(U4&lt;&gt;""," و","")&amp;IF(U4&lt;&gt;"",U4,"")&amp;IF(U5&lt;&gt;""," و","")&amp;IF(U5&lt;&gt;"",U5,"")&amp;IF(U6&lt;&gt;""," و","")&amp;IF(U6&lt;&gt;"",U6,"")&amp;IF(U7&lt;&gt;""," و","")&amp;IF(U7&lt;&gt;"",U7,"")&amp;IF(U8&lt;&gt;""," و","")&amp;IF(U8&lt;&gt;"",U8,"")&amp;IF(U9&lt;&gt;""," و","")&amp;IF(U9&lt;&gt;"",U9,"")&amp;IF(U10&lt;&gt;""," و","")&amp;IF(U10&lt;&gt;"",U10,"")&amp;IF(U11&lt;&gt;""," و","")</f>
        <v>اثنان وثلاثمائة</v>
      </c>
      <c r="Z12" s="982" t="str">
        <f>IF(Z3&lt;&gt;"",Z3,"")&amp;IF(Z4&lt;&gt;""," و","")&amp;IF(Z4&lt;&gt;"",Z4,"")&amp;IF(Z5&lt;&gt;""," و","")&amp;IF(Z5&lt;&gt;"",Z5,"")&amp;IF(Z6&lt;&gt;""," و","")&amp;IF(Z6&lt;&gt;"",Z6,"")&amp;IF(Z7&lt;&gt;""," و","")&amp;IF(Z7&lt;&gt;"",Z7,"")&amp;IF(Z8&lt;&gt;""," و","")&amp;IF(Z8&lt;&gt;"",Z8,"")&amp;IF(Z9&lt;&gt;""," و","")&amp;IF(Z9&lt;&gt;"",Z9,"")&amp;IF(Z10&lt;&gt;""," و","")&amp;IF(Z10&lt;&gt;"",Z10,"")&amp;IF(Z11&lt;&gt;""," و","")</f>
        <v>ثلاثون</v>
      </c>
      <c r="AE12" s="982" t="str">
        <f>IF(AE3&lt;&gt;"",AE3,"")&amp;IF(AE4&lt;&gt;""," و","")&amp;IF(AE4&lt;&gt;"",AE4,"")&amp;IF(AE5&lt;&gt;""," و","")&amp;IF(AE5&lt;&gt;"",AE5,"")&amp;IF(AE6&lt;&gt;""," و","")&amp;IF(AE6&lt;&gt;"",AE6,"")&amp;IF(AE7&lt;&gt;""," و","")&amp;IF(AE7&lt;&gt;"",AE7,"")&amp;IF(AE8&lt;&gt;""," و","")&amp;IF(AE8&lt;&gt;"",AE8,"")&amp;IF(AE9&lt;&gt;""," و","")&amp;IF(AE9&lt;&gt;"",AE9,"")&amp;IF(AE10&lt;&gt;""," و","")&amp;IF(AE10&lt;&gt;"",AE10,"")&amp;IF(AE11&lt;&gt;""," و","")</f>
        <v/>
      </c>
      <c r="AJ12" s="982" t="str">
        <f>IF(AJ3&lt;&gt;"",AJ3,"")&amp;IF(AJ4&lt;&gt;""," و","")&amp;IF(AJ4&lt;&gt;"",AJ4,"")&amp;IF(AJ5&lt;&gt;""," و","")&amp;IF(AJ5&lt;&gt;"",AJ5,"")&amp;IF(AJ6&lt;&gt;""," و","")&amp;IF(AJ6&lt;&gt;"",AJ6,"")&amp;IF(AJ7&lt;&gt;""," و","")&amp;IF(AJ7&lt;&gt;"",AJ7,"")&amp;IF(AJ8&lt;&gt;""," و","")&amp;IF(AJ8&lt;&gt;"",AJ8,"")&amp;IF(AJ9&lt;&gt;""," و","")&amp;IF(AJ9&lt;&gt;"",AJ9,"")&amp;IF(AJ10&lt;&gt;""," و","")&amp;IF(AJ10&lt;&gt;"",AJ10,"")&amp;IF(AJ11&lt;&gt;""," و","")</f>
        <v/>
      </c>
      <c r="AO12" s="982" t="str">
        <f>IF(AO3&lt;&gt;"",AO3,"")&amp;IF(AO4&lt;&gt;""," و","")&amp;IF(AO4&lt;&gt;"",AO4,"")&amp;IF(AO5&lt;&gt;""," و","")&amp;IF(AO5&lt;&gt;"",AO5,"")&amp;IF(AO6&lt;&gt;""," و","")&amp;IF(AO6&lt;&gt;"",AO6,"")&amp;IF(AO7&lt;&gt;""," و","")&amp;IF(AO7&lt;&gt;"",AO7,"")&amp;IF(AO8&lt;&gt;""," و","")&amp;IF(AO8&lt;&gt;"",AO8,"")&amp;IF(AO9&lt;&gt;""," و","")&amp;IF(AO9&lt;&gt;"",AO9,"")&amp;IF(AO10&lt;&gt;""," و","")&amp;IF(AO10&lt;&gt;"",AO10,"")&amp;IF(AO11&lt;&gt;""," و","")</f>
        <v/>
      </c>
      <c r="AT12" s="982" t="str">
        <f>IF(AT3&lt;&gt;"",AT3,"")&amp;IF(AT4&lt;&gt;""," و","")&amp;IF(AT4&lt;&gt;"",AT4,"")&amp;IF(AT5&lt;&gt;""," و","")&amp;IF(AT5&lt;&gt;"",AT5,"")&amp;IF(AT6&lt;&gt;""," و","")&amp;IF(AT6&lt;&gt;"",AT6,"")&amp;IF(AT7&lt;&gt;""," و","")&amp;IF(AT7&lt;&gt;"",AT7,"")&amp;IF(AT8&lt;&gt;""," و","")&amp;IF(AT8&lt;&gt;"",AT8,"")&amp;IF(AT9&lt;&gt;""," و","")&amp;IF(AT9&lt;&gt;"",AT9,"")&amp;IF(AT10&lt;&gt;""," و","")&amp;IF(AT10&lt;&gt;"",AT10,"")&amp;IF(AT11&lt;&gt;""," و","")</f>
        <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8"/>
  <dimension ref="A1:L124"/>
  <sheetViews>
    <sheetView rightToLeft="1" zoomScaleNormal="100" zoomScaleSheetLayoutView="120" workbookViewId="0">
      <selection sqref="A1:D1"/>
    </sheetView>
  </sheetViews>
  <sheetFormatPr defaultColWidth="9.140625" defaultRowHeight="23.25"/>
  <cols>
    <col min="1" max="4" width="21.7109375" style="775" customWidth="1"/>
    <col min="5" max="16384" width="9.140625" style="775"/>
  </cols>
  <sheetData>
    <row r="1" spans="1:12">
      <c r="A1" s="1564" t="s">
        <v>1346</v>
      </c>
      <c r="B1" s="1564"/>
      <c r="C1" s="1564"/>
      <c r="D1" s="1564"/>
    </row>
    <row r="2" spans="1:12">
      <c r="A2" s="1565" t="str">
        <f>"ابرم هذا العقد بتاريخ "&amp;TEXT('مدخلات العقود'!$J$15,"dd/mm/yyyy")&amp;" بين كل من:"</f>
        <v>ابرم هذا العقد بتاريخ 00/01/1900 بين كل من:</v>
      </c>
      <c r="B2" s="1565"/>
      <c r="C2" s="1565"/>
      <c r="D2" s="1565"/>
    </row>
    <row r="3" spans="1:12" ht="24.95" customHeight="1">
      <c r="A3" s="1561" t="s">
        <v>1347</v>
      </c>
      <c r="B3" s="1561"/>
      <c r="C3" s="1561"/>
      <c r="D3" s="1561"/>
    </row>
    <row r="4" spans="1:12">
      <c r="A4" s="1562" t="s">
        <v>1395</v>
      </c>
      <c r="B4" s="1562"/>
      <c r="C4" s="1562"/>
      <c r="D4" s="1562"/>
    </row>
    <row r="5" spans="1:12" ht="24.75" customHeight="1">
      <c r="A5" s="1562" t="str">
        <f>'عقود الزبون والكفلاء'!A6</f>
        <v>السيد/ السيدة: 0، حامل هوية رقم: 0، والصادرة في: ، بتاريخ: 00/01/1900، وعنوانة لغايات التبليغ:  -  -  - ، ورقم هاتفه: 0</v>
      </c>
      <c r="B5" s="1562"/>
      <c r="C5" s="1562"/>
      <c r="D5" s="1562"/>
      <c r="K5" s="776"/>
    </row>
    <row r="6" spans="1:12">
      <c r="A6" s="1562" t="s">
        <v>1394</v>
      </c>
      <c r="B6" s="1562"/>
      <c r="C6" s="1562"/>
      <c r="D6" s="1562"/>
    </row>
    <row r="7" spans="1:12" ht="24.95" customHeight="1">
      <c r="A7" s="1562" t="str">
        <f>"• "&amp;'عقود الزبون والكفلاء'!B9</f>
        <v>• السيد/ السيدة: لا يوجد، حامل هوية رقم: لا يوجد، والصادرة في ، بتاريخ 00/01/1900، وعنوانه لغايات التبليغ لا يوجد، ورقم هاتفه لا يوجد</v>
      </c>
      <c r="B7" s="1562"/>
      <c r="C7" s="1562"/>
      <c r="D7" s="1562"/>
      <c r="L7" s="776"/>
    </row>
    <row r="8" spans="1:12" ht="24.95" customHeight="1">
      <c r="A8" s="1562" t="str">
        <f>"• "&amp;'عقود الزبون والكفلاء'!B10</f>
        <v>• السيد/ السيدة: لا يوجد، حامل هوية رقم: لا يوجد، والصادرة في ، بتاريخ 00/01/1900، وعنوانه لغايات التبليغ لا يوجد، ورقم هاتفه لا يوجد</v>
      </c>
      <c r="B8" s="1562"/>
      <c r="C8" s="1562"/>
      <c r="D8" s="1562"/>
      <c r="L8" s="776"/>
    </row>
    <row r="9" spans="1:12" ht="24.95" customHeight="1">
      <c r="A9" s="1562" t="str">
        <f>"• "&amp;'عقود الزبون والكفلاء'!B11</f>
        <v>• السيد/ السيدة: لا يوجد، حامل هوية رقم: لا يوجد، والصادرة في ، بتاريخ 00/01/1900، وعنوانه لغايات التبليغ لا يوجد، ورقم هاتفه لا يوجد</v>
      </c>
      <c r="B9" s="1562"/>
      <c r="C9" s="1562"/>
      <c r="D9" s="1562"/>
      <c r="L9" s="776"/>
    </row>
    <row r="10" spans="1:12" ht="24.95" customHeight="1">
      <c r="A10" s="1562" t="str">
        <f>"• "&amp;'عقود الزبون والكفلاء'!B12</f>
        <v>• السيد/ السيدة: لا يوجد، حامل هوية رقم: لا يوجد، والصادرة في ، بتاريخ 00/01/1900، وعنوانه لغايات التبليغ لا يوجد، ورقم هاتفه لا يوجد</v>
      </c>
      <c r="B10" s="1562"/>
      <c r="C10" s="1562"/>
      <c r="D10" s="1562"/>
      <c r="L10" s="776"/>
    </row>
    <row r="11" spans="1:12">
      <c r="A11" s="1562" t="s">
        <v>1348</v>
      </c>
      <c r="B11" s="1562"/>
      <c r="C11" s="1562"/>
      <c r="D11" s="1562"/>
    </row>
    <row r="12" spans="1:12" ht="80.099999999999994" customHeight="1">
      <c r="A12" s="1562" t="s">
        <v>1447</v>
      </c>
      <c r="B12" s="1562"/>
      <c r="C12" s="1562"/>
      <c r="D12" s="1562"/>
    </row>
    <row r="13" spans="1:12" ht="50.1" customHeight="1">
      <c r="A13" s="1562" t="s">
        <v>1349</v>
      </c>
      <c r="B13" s="1562"/>
      <c r="C13" s="1562"/>
      <c r="D13" s="1562"/>
    </row>
    <row r="14" spans="1:12">
      <c r="A14" s="1562" t="s">
        <v>1350</v>
      </c>
      <c r="B14" s="1562"/>
      <c r="C14" s="1562"/>
      <c r="D14" s="1562"/>
    </row>
    <row r="15" spans="1:12" ht="48" customHeight="1">
      <c r="A15" s="1561" t="str">
        <f>"اولا: تعتبر مقدمة هذا العقد واي من ملاحقه ومرفقاته جزء لا يتجزأ منه كما يعتبر هذا العقد جزء لا يتجزأ من عقد وعد الاستئجار المقترن بوعد الشراء والتأجير الموقع بين الفريق الاول والفريق الثاني بتاريخ "&amp;'مدخلات العقود'!$J$15&amp;" والمشار اليه بالعقد الاصلي."</f>
        <v>اولا: تعتبر مقدمة هذا العقد واي من ملاحقه ومرفقاته جزء لا يتجزأ منه كما يعتبر هذا العقد جزء لا يتجزأ من عقد وعد الاستئجار المقترن بوعد الشراء والتأجير الموقع بين الفريق الاول والفريق الثاني بتاريخ  والمشار اليه بالعقد الاصلي.</v>
      </c>
      <c r="B15" s="1561"/>
      <c r="C15" s="1561"/>
      <c r="D15" s="1561"/>
    </row>
    <row r="16" spans="1:12">
      <c r="A16" s="1561" t="s">
        <v>1396</v>
      </c>
      <c r="B16" s="1561"/>
      <c r="C16" s="1561"/>
      <c r="D16" s="1561"/>
    </row>
    <row r="17" spans="1:4" ht="23.25" customHeight="1">
      <c r="A17" s="1562" t="s">
        <v>1351</v>
      </c>
      <c r="B17" s="1562"/>
      <c r="C17" s="1562"/>
      <c r="D17" s="1562"/>
    </row>
    <row r="18" spans="1:4" ht="48" customHeight="1">
      <c r="A18" s="1561" t="s">
        <v>1397</v>
      </c>
      <c r="B18" s="1561"/>
      <c r="C18" s="1561"/>
      <c r="D18" s="1561"/>
    </row>
    <row r="19" spans="1:4" ht="125.1" customHeight="1">
      <c r="A19" s="1562" t="s">
        <v>1352</v>
      </c>
      <c r="B19" s="1562"/>
      <c r="C19" s="1562"/>
      <c r="D19" s="1562"/>
    </row>
    <row r="20" spans="1:4" ht="50.1" customHeight="1">
      <c r="A20" s="1561" t="s">
        <v>1398</v>
      </c>
      <c r="B20" s="1561"/>
      <c r="C20" s="1561"/>
      <c r="D20" s="1561"/>
    </row>
    <row r="21" spans="1:4">
      <c r="A21" s="1561" t="s">
        <v>1399</v>
      </c>
      <c r="B21" s="1561"/>
      <c r="C21" s="1561"/>
      <c r="D21" s="1561"/>
    </row>
    <row r="22" spans="1:4">
      <c r="A22" s="1561" t="s">
        <v>1353</v>
      </c>
      <c r="B22" s="1561"/>
      <c r="C22" s="1561"/>
      <c r="D22" s="1561"/>
    </row>
    <row r="23" spans="1:4" ht="39.950000000000003" customHeight="1">
      <c r="A23" s="1562" t="s">
        <v>1444</v>
      </c>
      <c r="B23" s="1562"/>
      <c r="C23" s="1562"/>
      <c r="D23" s="1562"/>
    </row>
    <row r="24" spans="1:4">
      <c r="A24" s="1561" t="s">
        <v>1354</v>
      </c>
      <c r="B24" s="1561"/>
      <c r="C24" s="1561"/>
      <c r="D24" s="1561"/>
    </row>
    <row r="25" spans="1:4">
      <c r="A25" s="1562" t="s">
        <v>1355</v>
      </c>
      <c r="B25" s="1562"/>
      <c r="C25" s="1562"/>
      <c r="D25" s="1562"/>
    </row>
    <row r="26" spans="1:4" ht="125.1" customHeight="1">
      <c r="A26" s="1562" t="str">
        <f>"1-    يلتزم الفريق الثاني بشراء ودفع قيمة العين محل هذا العقد والبالغ قيمتها "&amp;'مدخلات العقود'!$J$10&amp;" "&amp;FC&amp;"بالإضافة الى اية مصاريف تترتب على استيراد العين واتمام كافة المهام والخدمات المتعلقة بعملية الاستيراد بما فيها التعاقد مع جميع الجهات المختصة بما فيه الشركة الصانعة وشركات الشحن والنقل والتامين واي طرف اخر لازم لتحقيق اهداف هذا العقد وضمن شروطه"&amp;" وفي حدود الوكالة وبما يكفل استيراد العين وتوريدها لاسم مصلحة الفريق الاول حتى تاريخ توريد العين وفق الالية المعتمدة كحد اقصى وفقا للشروط والمواصفات المتفق عليها وذات"&amp;" الجودة العالية والخالية من العيوب، وان يقوم الفريق الأول بدفع الفرق بين قيمة العين ومساهمة الفريق الثاني وبحد اقصى "&amp;'مدخلات العقود'!$J$10&amp;" "&amp;FC&amp;" بالإضافة لحساب السيد/ة/السادة "&amp;'مدخلات العقود'!$B$2&amp;" حامل هوية/ رقم تسجيل "&amp;'مدخلات العقود'!$D$2&amp;" او المورد بموجب حوالة بنكية او الية دفع اخرى تم الاتفاق عليها."</f>
        <v>1-    يلتزم الفريق الثاني بشراء ودفع قيمة العين محل هذا العقد والبالغ قيمتها 0 دولاربالإضافة الى اية مصاريف تترتب على استيراد العين واتمام كافة المهام والخدمات المتعلقة بعملية الاستيراد بما فيها التعاقد مع جميع الجهات المختصة بما فيه الشركة الصانعة وشركات الشحن والنقل والتامين واي طرف اخر لازم لتحقيق اهداف هذا العقد وضمن شروطه وفي حدود الوكالة وبما يكفل استيراد العين وتوريدها لاسم مصلحة الفريق الاول حتى تاريخ توريد العين وفق الالية المعتمدة كحد اقصى وفقا للشروط والمواصفات المتفق عليها وذات الجودة العالية والخالية من العيوب، وان يقوم الفريق الأول بدفع الفرق بين قيمة العين ومساهمة الفريق الثاني وبحد اقصى 0 دولار بالإضافة لحساب السيد/ة/السادة 0 حامل هوية/ رقم تسجيل 0 او المورد بموجب حوالة بنكية او الية دفع اخرى تم الاتفاق عليها.</v>
      </c>
      <c r="B26" s="1562"/>
      <c r="C26" s="1562"/>
      <c r="D26" s="1562"/>
    </row>
    <row r="27" spans="1:4" ht="84.95" customHeight="1">
      <c r="A27" s="1562" t="s">
        <v>1400</v>
      </c>
      <c r="B27" s="1562"/>
      <c r="C27" s="1562"/>
      <c r="D27" s="1562"/>
    </row>
    <row r="28" spans="1:4" ht="48" customHeight="1">
      <c r="A28" s="1562" t="s">
        <v>1401</v>
      </c>
      <c r="B28" s="1562"/>
      <c r="C28" s="1562"/>
      <c r="D28" s="1562"/>
    </row>
    <row r="29" spans="1:4" ht="60" customHeight="1">
      <c r="A29" s="1562" t="s">
        <v>1402</v>
      </c>
      <c r="B29" s="1562"/>
      <c r="C29" s="1562"/>
      <c r="D29" s="1562"/>
    </row>
    <row r="30" spans="1:4" ht="39.950000000000003" customHeight="1">
      <c r="A30" s="1562" t="s">
        <v>1403</v>
      </c>
      <c r="B30" s="1562"/>
      <c r="C30" s="1562"/>
      <c r="D30" s="1562"/>
    </row>
    <row r="31" spans="1:4" ht="39.950000000000003" customHeight="1">
      <c r="A31" s="1562" t="s">
        <v>1404</v>
      </c>
      <c r="B31" s="1562"/>
      <c r="C31" s="1562"/>
      <c r="D31" s="1562"/>
    </row>
    <row r="32" spans="1:4" ht="39.950000000000003" customHeight="1">
      <c r="A32" s="1562" t="s">
        <v>1405</v>
      </c>
      <c r="B32" s="1562"/>
      <c r="C32" s="1562"/>
      <c r="D32" s="1562"/>
    </row>
    <row r="33" spans="1:4" ht="24.95" customHeight="1">
      <c r="A33" s="1562" t="s">
        <v>1406</v>
      </c>
      <c r="B33" s="1562"/>
      <c r="C33" s="1562"/>
      <c r="D33" s="1562"/>
    </row>
    <row r="34" spans="1:4" ht="39.950000000000003" customHeight="1">
      <c r="A34" s="1562" t="s">
        <v>1407</v>
      </c>
      <c r="B34" s="1562"/>
      <c r="C34" s="1562"/>
      <c r="D34" s="1562"/>
    </row>
    <row r="35" spans="1:4" ht="39.950000000000003" customHeight="1">
      <c r="A35" s="1562" t="s">
        <v>1408</v>
      </c>
      <c r="B35" s="1562"/>
      <c r="C35" s="1562"/>
      <c r="D35" s="1562"/>
    </row>
    <row r="36" spans="1:4" ht="60" customHeight="1">
      <c r="A36" s="1562" t="s">
        <v>1409</v>
      </c>
      <c r="B36" s="1562"/>
      <c r="C36" s="1562"/>
      <c r="D36" s="1562"/>
    </row>
    <row r="37" spans="1:4" ht="125.1" customHeight="1">
      <c r="A37" s="1562" t="s">
        <v>1448</v>
      </c>
      <c r="B37" s="1562"/>
      <c r="C37" s="1562"/>
      <c r="D37" s="1562"/>
    </row>
    <row r="38" spans="1:4" ht="50.1" customHeight="1">
      <c r="A38" s="1562" t="s">
        <v>1410</v>
      </c>
      <c r="B38" s="1562"/>
      <c r="C38" s="1562"/>
      <c r="D38" s="1562"/>
    </row>
    <row r="39" spans="1:4" ht="60" customHeight="1">
      <c r="A39" s="1562" t="s">
        <v>1411</v>
      </c>
      <c r="B39" s="1562"/>
      <c r="C39" s="1562"/>
      <c r="D39" s="1562"/>
    </row>
    <row r="40" spans="1:4" ht="39.950000000000003" customHeight="1">
      <c r="A40" s="1562" t="str">
        <f>"15- للغاية المبينة اعلاه فان الفريق الثاني والثالث (إن انطبق) يلتزم ويتعهد بتحرير كمبيالة غب الطلب و/او شيك بقيمة وبحد اقصى "&amp;'مدخلات العقود'!$J$10&amp;" "&amp;FC&amp;" "&amp;"بالإضافة"</f>
        <v>15- للغاية المبينة اعلاه فان الفريق الثاني والثالث (إن انطبق) يلتزم ويتعهد بتحرير كمبيالة غب الطلب و/او شيك بقيمة وبحد اقصى 0 دولار بالإضافة</v>
      </c>
      <c r="B40" s="1562"/>
      <c r="C40" s="1562"/>
      <c r="D40" s="1562"/>
    </row>
    <row r="41" spans="1:4" ht="48" customHeight="1">
      <c r="A41" s="1562" t="s">
        <v>1412</v>
      </c>
      <c r="B41" s="1562"/>
      <c r="C41" s="1562"/>
      <c r="D41" s="1562"/>
    </row>
    <row r="42" spans="1:4" ht="99.95" customHeight="1">
      <c r="A42" s="1562" t="s">
        <v>1356</v>
      </c>
      <c r="B42" s="1562"/>
      <c r="C42" s="1562"/>
      <c r="D42" s="1562"/>
    </row>
    <row r="43" spans="1:4" ht="24.95" customHeight="1">
      <c r="A43" s="1562" t="s">
        <v>1413</v>
      </c>
      <c r="B43" s="1562"/>
      <c r="C43" s="1562"/>
      <c r="D43" s="1562"/>
    </row>
    <row r="44" spans="1:4">
      <c r="A44" s="1561" t="s">
        <v>1357</v>
      </c>
      <c r="B44" s="1561"/>
      <c r="C44" s="1561"/>
      <c r="D44" s="1561"/>
    </row>
    <row r="45" spans="1:4" ht="125.1" customHeight="1">
      <c r="A45" s="1562" t="s">
        <v>1414</v>
      </c>
      <c r="B45" s="1562"/>
      <c r="C45" s="1562"/>
      <c r="D45" s="1562"/>
    </row>
    <row r="46" spans="1:4" ht="48" customHeight="1">
      <c r="A46" s="1562" t="s">
        <v>1415</v>
      </c>
      <c r="B46" s="1562"/>
      <c r="C46" s="1562"/>
      <c r="D46" s="1562"/>
    </row>
    <row r="47" spans="1:4" ht="60" customHeight="1">
      <c r="A47" s="1562" t="s">
        <v>1416</v>
      </c>
      <c r="B47" s="1562"/>
      <c r="C47" s="1562"/>
      <c r="D47" s="1562"/>
    </row>
    <row r="48" spans="1:4" ht="84.95" customHeight="1">
      <c r="A48" s="1562" t="s">
        <v>1358</v>
      </c>
      <c r="B48" s="1562"/>
      <c r="C48" s="1562"/>
      <c r="D48" s="1562"/>
    </row>
    <row r="49" spans="1:4" ht="84.95" customHeight="1">
      <c r="A49" s="1562" t="s">
        <v>1359</v>
      </c>
      <c r="B49" s="1562"/>
      <c r="C49" s="1562"/>
      <c r="D49" s="1562"/>
    </row>
    <row r="50" spans="1:4" ht="75" customHeight="1">
      <c r="A50" s="1562" t="s">
        <v>1417</v>
      </c>
      <c r="B50" s="1562"/>
      <c r="C50" s="1562"/>
      <c r="D50" s="1562"/>
    </row>
    <row r="51" spans="1:4">
      <c r="A51" s="1561" t="s">
        <v>1360</v>
      </c>
      <c r="B51" s="1561"/>
      <c r="C51" s="1561"/>
      <c r="D51" s="1561"/>
    </row>
    <row r="52" spans="1:4">
      <c r="A52" s="1561" t="s">
        <v>1361</v>
      </c>
      <c r="B52" s="1561"/>
      <c r="C52" s="1561"/>
      <c r="D52" s="1561"/>
    </row>
    <row r="53" spans="1:4" ht="99.95" customHeight="1">
      <c r="A53" s="1562" t="s">
        <v>1418</v>
      </c>
      <c r="B53" s="1562"/>
      <c r="C53" s="1562"/>
      <c r="D53" s="1562"/>
    </row>
    <row r="54" spans="1:4" ht="75" customHeight="1">
      <c r="A54" s="1562" t="s">
        <v>1419</v>
      </c>
      <c r="B54" s="1562"/>
      <c r="C54" s="1562"/>
      <c r="D54" s="1562"/>
    </row>
    <row r="55" spans="1:4" ht="48" customHeight="1">
      <c r="A55" s="1562" t="s">
        <v>1420</v>
      </c>
      <c r="B55" s="1562"/>
      <c r="C55" s="1562"/>
      <c r="D55" s="1562"/>
    </row>
    <row r="56" spans="1:4" ht="60" customHeight="1">
      <c r="A56" s="1566" t="s">
        <v>1446</v>
      </c>
      <c r="B56" s="1566"/>
      <c r="C56" s="1566"/>
      <c r="D56" s="1566"/>
    </row>
    <row r="57" spans="1:4">
      <c r="A57" s="1561" t="s">
        <v>1362</v>
      </c>
      <c r="B57" s="1561"/>
      <c r="C57" s="1561"/>
      <c r="D57" s="1561"/>
    </row>
    <row r="58" spans="1:4" ht="99.95" customHeight="1">
      <c r="A58" s="1562" t="s">
        <v>1363</v>
      </c>
      <c r="B58" s="1562"/>
      <c r="C58" s="1562"/>
      <c r="D58" s="1562"/>
    </row>
    <row r="59" spans="1:4" ht="65.099999999999994" customHeight="1">
      <c r="A59" s="1562" t="s">
        <v>1364</v>
      </c>
      <c r="B59" s="1562"/>
      <c r="C59" s="1562"/>
      <c r="D59" s="1562"/>
    </row>
    <row r="60" spans="1:4">
      <c r="A60" s="1561" t="s">
        <v>1365</v>
      </c>
      <c r="B60" s="1561"/>
      <c r="C60" s="1561"/>
      <c r="D60" s="1561"/>
    </row>
    <row r="61" spans="1:4">
      <c r="A61" s="1561" t="s">
        <v>1366</v>
      </c>
      <c r="B61" s="1561"/>
      <c r="C61" s="1561"/>
      <c r="D61" s="1561"/>
    </row>
    <row r="62" spans="1:4">
      <c r="A62" s="1562" t="s">
        <v>1367</v>
      </c>
      <c r="B62" s="1562"/>
      <c r="C62" s="1562"/>
      <c r="D62" s="1562"/>
    </row>
    <row r="63" spans="1:4">
      <c r="A63" s="1562" t="s">
        <v>1531</v>
      </c>
      <c r="B63" s="1562"/>
      <c r="C63" s="1562"/>
      <c r="D63" s="1562"/>
    </row>
    <row r="64" spans="1:4" ht="48" customHeight="1">
      <c r="A64" s="1562" t="s">
        <v>1368</v>
      </c>
      <c r="B64" s="1562"/>
      <c r="C64" s="1562"/>
      <c r="D64" s="1562"/>
    </row>
    <row r="65" spans="1:4">
      <c r="A65" s="1562" t="s">
        <v>1530</v>
      </c>
      <c r="B65" s="1562"/>
      <c r="C65" s="1562"/>
      <c r="D65" s="1562"/>
    </row>
    <row r="66" spans="1:4">
      <c r="A66" s="1561" t="s">
        <v>1369</v>
      </c>
      <c r="B66" s="1561"/>
      <c r="C66" s="1561"/>
      <c r="D66" s="1561"/>
    </row>
    <row r="67" spans="1:4" ht="39.950000000000003" customHeight="1">
      <c r="A67" s="1562" t="s">
        <v>1445</v>
      </c>
      <c r="B67" s="1562"/>
      <c r="C67" s="1562"/>
      <c r="D67" s="1562"/>
    </row>
    <row r="68" spans="1:4">
      <c r="A68" s="1562" t="s">
        <v>1421</v>
      </c>
      <c r="B68" s="1562"/>
      <c r="C68" s="1562"/>
      <c r="D68" s="1562"/>
    </row>
    <row r="69" spans="1:4" ht="35.1" customHeight="1">
      <c r="A69" s="1562" t="s">
        <v>1422</v>
      </c>
      <c r="B69" s="1562"/>
      <c r="C69" s="1562"/>
      <c r="D69" s="1562"/>
    </row>
    <row r="70" spans="1:4" ht="60" customHeight="1">
      <c r="A70" s="1562" t="s">
        <v>1423</v>
      </c>
      <c r="B70" s="1562"/>
      <c r="C70" s="1562"/>
      <c r="D70" s="1562"/>
    </row>
    <row r="71" spans="1:4">
      <c r="A71" s="1562" t="s">
        <v>1424</v>
      </c>
      <c r="B71" s="1562"/>
      <c r="C71" s="1562"/>
      <c r="D71" s="1562"/>
    </row>
    <row r="72" spans="1:4">
      <c r="A72" s="1561" t="s">
        <v>1370</v>
      </c>
      <c r="B72" s="1561"/>
      <c r="C72" s="1561"/>
      <c r="D72" s="1561"/>
    </row>
    <row r="73" spans="1:4" ht="99.95" customHeight="1">
      <c r="A73" s="1562" t="s">
        <v>1371</v>
      </c>
      <c r="B73" s="1562"/>
      <c r="C73" s="1562"/>
      <c r="D73" s="1562"/>
    </row>
    <row r="74" spans="1:4">
      <c r="A74" s="1561" t="s">
        <v>1372</v>
      </c>
      <c r="B74" s="1561"/>
      <c r="C74" s="1561"/>
      <c r="D74" s="1561"/>
    </row>
    <row r="75" spans="1:4" ht="45" customHeight="1">
      <c r="A75" s="1562" t="s">
        <v>1373</v>
      </c>
      <c r="B75" s="1562"/>
      <c r="C75" s="1562"/>
      <c r="D75" s="1562"/>
    </row>
    <row r="76" spans="1:4">
      <c r="A76" s="1561" t="s">
        <v>1374</v>
      </c>
      <c r="B76" s="1561"/>
      <c r="C76" s="1561"/>
      <c r="D76" s="1561"/>
    </row>
    <row r="77" spans="1:4" ht="45" customHeight="1">
      <c r="A77" s="1562" t="s">
        <v>1425</v>
      </c>
      <c r="B77" s="1562"/>
      <c r="C77" s="1562"/>
      <c r="D77" s="1562"/>
    </row>
    <row r="78" spans="1:4">
      <c r="A78" s="1562" t="s">
        <v>1426</v>
      </c>
      <c r="B78" s="1562"/>
      <c r="C78" s="1562"/>
      <c r="D78" s="1562"/>
    </row>
    <row r="79" spans="1:4" ht="45" customHeight="1">
      <c r="A79" s="1562" t="s">
        <v>1427</v>
      </c>
      <c r="B79" s="1562"/>
      <c r="C79" s="1562"/>
      <c r="D79" s="1562"/>
    </row>
    <row r="80" spans="1:4">
      <c r="A80" s="1561" t="s">
        <v>1375</v>
      </c>
      <c r="B80" s="1561"/>
      <c r="C80" s="1561"/>
      <c r="D80" s="1561"/>
    </row>
    <row r="81" spans="1:4" ht="99.95" customHeight="1">
      <c r="A81" s="1562" t="s">
        <v>1428</v>
      </c>
      <c r="B81" s="1562"/>
      <c r="C81" s="1562"/>
      <c r="D81" s="1562"/>
    </row>
    <row r="82" spans="1:4" ht="45" customHeight="1">
      <c r="A82" s="1562" t="s">
        <v>1429</v>
      </c>
      <c r="B82" s="1562"/>
      <c r="C82" s="1562"/>
      <c r="D82" s="1562"/>
    </row>
    <row r="83" spans="1:4" ht="45" customHeight="1">
      <c r="A83" s="1562" t="s">
        <v>1430</v>
      </c>
      <c r="B83" s="1562"/>
      <c r="C83" s="1562"/>
      <c r="D83" s="1562"/>
    </row>
    <row r="84" spans="1:4">
      <c r="A84" s="1561" t="s">
        <v>1376</v>
      </c>
      <c r="B84" s="1561"/>
      <c r="C84" s="1561"/>
      <c r="D84" s="1561"/>
    </row>
    <row r="85" spans="1:4" ht="45" customHeight="1">
      <c r="A85" s="1562" t="s">
        <v>1449</v>
      </c>
      <c r="B85" s="1562"/>
      <c r="C85" s="1562"/>
      <c r="D85" s="1562"/>
    </row>
    <row r="86" spans="1:4" ht="35.1" customHeight="1">
      <c r="A86" s="1562" t="s">
        <v>1431</v>
      </c>
      <c r="B86" s="1562"/>
      <c r="C86" s="1562"/>
      <c r="D86" s="1562"/>
    </row>
    <row r="87" spans="1:4">
      <c r="A87" s="1561" t="s">
        <v>1377</v>
      </c>
      <c r="B87" s="1561"/>
      <c r="C87" s="1561"/>
      <c r="D87" s="1561"/>
    </row>
    <row r="88" spans="1:4" ht="45" customHeight="1">
      <c r="A88" s="1562" t="s">
        <v>1378</v>
      </c>
      <c r="B88" s="1562"/>
      <c r="C88" s="1562"/>
      <c r="D88" s="1562"/>
    </row>
    <row r="89" spans="1:4">
      <c r="A89" s="1561" t="s">
        <v>1379</v>
      </c>
      <c r="B89" s="1561"/>
      <c r="C89" s="1561"/>
      <c r="D89" s="1561"/>
    </row>
    <row r="90" spans="1:4" ht="45" customHeight="1">
      <c r="A90" s="1562" t="s">
        <v>1432</v>
      </c>
      <c r="B90" s="1562"/>
      <c r="C90" s="1562"/>
      <c r="D90" s="1562"/>
    </row>
    <row r="91" spans="1:4" ht="75" customHeight="1">
      <c r="A91" s="1562" t="s">
        <v>1433</v>
      </c>
      <c r="B91" s="1562"/>
      <c r="C91" s="1562"/>
      <c r="D91" s="1562"/>
    </row>
    <row r="92" spans="1:4" ht="45" customHeight="1">
      <c r="A92" s="1562" t="s">
        <v>1434</v>
      </c>
      <c r="B92" s="1562"/>
      <c r="C92" s="1562"/>
      <c r="D92" s="1562"/>
    </row>
    <row r="93" spans="1:4" ht="45" customHeight="1">
      <c r="A93" s="1562" t="s">
        <v>1435</v>
      </c>
      <c r="B93" s="1562"/>
      <c r="C93" s="1562"/>
      <c r="D93" s="1562"/>
    </row>
    <row r="94" spans="1:4">
      <c r="A94" s="1562" t="s">
        <v>1436</v>
      </c>
      <c r="B94" s="1562"/>
      <c r="C94" s="1562"/>
      <c r="D94" s="1562"/>
    </row>
    <row r="95" spans="1:4" ht="69.95" customHeight="1">
      <c r="A95" s="1562" t="s">
        <v>1380</v>
      </c>
      <c r="B95" s="1562"/>
      <c r="C95" s="1562"/>
      <c r="D95" s="1562"/>
    </row>
    <row r="96" spans="1:4" ht="39.950000000000003" customHeight="1">
      <c r="A96" s="1562" t="s">
        <v>1381</v>
      </c>
      <c r="B96" s="1562"/>
      <c r="C96" s="1562"/>
      <c r="D96" s="1562"/>
    </row>
    <row r="97" spans="1:4">
      <c r="A97" s="1562" t="s">
        <v>1437</v>
      </c>
      <c r="B97" s="1562"/>
      <c r="C97" s="1562"/>
      <c r="D97" s="1562"/>
    </row>
    <row r="98" spans="1:4">
      <c r="A98" s="1562" t="s">
        <v>1438</v>
      </c>
      <c r="B98" s="1562"/>
      <c r="C98" s="1562"/>
      <c r="D98" s="1562"/>
    </row>
    <row r="99" spans="1:4" ht="60" customHeight="1">
      <c r="A99" s="1562" t="s">
        <v>1439</v>
      </c>
      <c r="B99" s="1562"/>
      <c r="C99" s="1562"/>
      <c r="D99" s="1562"/>
    </row>
    <row r="100" spans="1:4">
      <c r="A100" s="1562" t="s">
        <v>1440</v>
      </c>
      <c r="B100" s="1562"/>
      <c r="C100" s="1562"/>
      <c r="D100" s="1562"/>
    </row>
    <row r="101" spans="1:4">
      <c r="A101" s="1562" t="s">
        <v>1441</v>
      </c>
      <c r="B101" s="1562"/>
      <c r="C101" s="1562"/>
      <c r="D101" s="1562"/>
    </row>
    <row r="102" spans="1:4" ht="45" customHeight="1">
      <c r="A102" s="1562" t="s">
        <v>1442</v>
      </c>
      <c r="B102" s="1562"/>
      <c r="C102" s="1562"/>
      <c r="D102" s="1562"/>
    </row>
    <row r="103" spans="1:4" ht="45" customHeight="1">
      <c r="A103" s="1562" t="s">
        <v>1443</v>
      </c>
      <c r="B103" s="1562"/>
      <c r="C103" s="1562"/>
      <c r="D103" s="1562"/>
    </row>
    <row r="104" spans="1:4">
      <c r="A104" s="1561"/>
      <c r="B104" s="1561"/>
      <c r="C104" s="1561"/>
      <c r="D104" s="1561"/>
    </row>
    <row r="105" spans="1:4">
      <c r="A105" s="1567" t="s">
        <v>1382</v>
      </c>
      <c r="B105" s="1567"/>
      <c r="C105" s="1567" t="s">
        <v>1387</v>
      </c>
      <c r="D105" s="1567"/>
    </row>
    <row r="106" spans="1:4">
      <c r="A106" s="1567" t="s">
        <v>1383</v>
      </c>
      <c r="B106" s="1567"/>
      <c r="C106" s="1567" t="s">
        <v>1383</v>
      </c>
      <c r="D106" s="1567"/>
    </row>
    <row r="107" spans="1:4">
      <c r="A107" s="1561" t="s">
        <v>1384</v>
      </c>
      <c r="B107" s="1561"/>
      <c r="C107" s="1567" t="s">
        <v>1388</v>
      </c>
      <c r="D107" s="1567"/>
    </row>
    <row r="108" spans="1:4" ht="23.25" customHeight="1">
      <c r="A108" s="1561" t="s">
        <v>1385</v>
      </c>
      <c r="B108" s="1561"/>
      <c r="C108" s="1567" t="s">
        <v>1389</v>
      </c>
      <c r="D108" s="1567"/>
    </row>
    <row r="109" spans="1:4" ht="23.25" customHeight="1">
      <c r="A109" s="1561" t="s">
        <v>1386</v>
      </c>
      <c r="B109" s="1561"/>
      <c r="C109" s="1567" t="s">
        <v>1390</v>
      </c>
      <c r="D109" s="1567"/>
    </row>
    <row r="110" spans="1:4">
      <c r="A110" s="1561" t="s">
        <v>1391</v>
      </c>
      <c r="B110" s="1561"/>
      <c r="C110" s="1561"/>
      <c r="D110" s="1561"/>
    </row>
    <row r="111" spans="1:4" ht="48" customHeight="1">
      <c r="A111" s="1562" t="s">
        <v>1392</v>
      </c>
      <c r="B111" s="1562"/>
      <c r="C111" s="1562"/>
      <c r="D111" s="1562"/>
    </row>
    <row r="112" spans="1:4">
      <c r="A112" s="1562" t="s">
        <v>1393</v>
      </c>
      <c r="B112" s="1562"/>
      <c r="C112" s="1562"/>
      <c r="D112" s="1562"/>
    </row>
    <row r="113" spans="1:4">
      <c r="A113" s="1563" t="s">
        <v>580</v>
      </c>
      <c r="B113" s="1563"/>
      <c r="C113" s="1563"/>
      <c r="D113" s="1563"/>
    </row>
    <row r="114" spans="1:4">
      <c r="A114" s="975" t="s">
        <v>186</v>
      </c>
      <c r="B114" s="975" t="s">
        <v>562</v>
      </c>
      <c r="C114" s="975" t="s">
        <v>564</v>
      </c>
      <c r="D114" s="975" t="s">
        <v>563</v>
      </c>
    </row>
    <row r="115" spans="1:4" ht="48" customHeight="1">
      <c r="A115" s="976" t="str">
        <f>IF('جدول السداد'!$A$39=0,"",'جدول السداد'!$A$39)</f>
        <v/>
      </c>
      <c r="B115" s="976" t="str">
        <f>IF('جدول السداد'!$F$39=0,"",'جدول السداد'!$F$39)</f>
        <v/>
      </c>
      <c r="C115" s="976" t="str">
        <f>IF('جدول السداد'!$K$39=0,"",'جدول السداد'!$K$39)</f>
        <v/>
      </c>
      <c r="D115" s="976">
        <f>IF('جدول السداد'!$I$39=0,"",'جدول السداد'!$I$39)</f>
        <v>2015</v>
      </c>
    </row>
    <row r="116" spans="1:4" ht="48" customHeight="1">
      <c r="A116" s="976" t="str">
        <f>IF('جدول السداد'!$A$40=0,"",'جدول السداد'!$A$40)</f>
        <v/>
      </c>
      <c r="B116" s="976" t="str">
        <f>IF('جدول السداد'!$F$40=0,"",'جدول السداد'!$F$40)</f>
        <v/>
      </c>
      <c r="C116" s="976" t="str">
        <f>IF('جدول السداد'!$K$40=0,"",'جدول السداد'!$K$40)</f>
        <v/>
      </c>
      <c r="D116" s="976" t="str">
        <f>IF('جدول السداد'!$I$40=0,"",'جدول السداد'!$I$40)</f>
        <v/>
      </c>
    </row>
    <row r="117" spans="1:4" ht="48" customHeight="1">
      <c r="A117" s="976" t="str">
        <f>IF('جدول السداد'!$A$41=0,"",'جدول السداد'!$A$41)</f>
        <v/>
      </c>
      <c r="B117" s="976" t="str">
        <f>IF('جدول السداد'!$F$41=0,"",'جدول السداد'!$F$41)</f>
        <v/>
      </c>
      <c r="C117" s="976" t="str">
        <f>IF('جدول السداد'!$K$41=0,"",'جدول السداد'!$K$41)</f>
        <v/>
      </c>
      <c r="D117" s="976" t="str">
        <f>IF('جدول السداد'!$I$41=0,"",'جدول السداد'!$I$41)</f>
        <v/>
      </c>
    </row>
    <row r="118" spans="1:4" ht="48" customHeight="1">
      <c r="A118" s="976" t="str">
        <f>IF('جدول السداد'!$A$42=0,"",'جدول السداد'!$A$42)</f>
        <v/>
      </c>
      <c r="B118" s="976" t="str">
        <f>IF('جدول السداد'!$F$42=0,"",'جدول السداد'!$F$42)</f>
        <v/>
      </c>
      <c r="C118" s="976" t="str">
        <f>IF('جدول السداد'!$K$42=0,"",'جدول السداد'!$K$42)</f>
        <v/>
      </c>
      <c r="D118" s="976" t="str">
        <f>IF('جدول السداد'!$I$42=0,"",'جدول السداد'!$I$42)</f>
        <v/>
      </c>
    </row>
    <row r="119" spans="1:4" ht="48" customHeight="1">
      <c r="A119" s="976" t="str">
        <f>IF('جدول السداد'!$A$43=0,"",'جدول السداد'!$A$43)</f>
        <v/>
      </c>
      <c r="B119" s="976" t="str">
        <f>IF('جدول السداد'!$F$43=0,"",'جدول السداد'!$F$43)</f>
        <v/>
      </c>
      <c r="C119" s="976" t="str">
        <f>IF('جدول السداد'!$K$43=0,"",'جدول السداد'!$K$43)</f>
        <v/>
      </c>
      <c r="D119" s="976" t="str">
        <f>IF('جدول السداد'!$I$43=0,"",'جدول السداد'!$I$43)</f>
        <v/>
      </c>
    </row>
    <row r="122" spans="1:4">
      <c r="A122" s="789"/>
    </row>
    <row r="123" spans="1:4">
      <c r="A123" s="789"/>
    </row>
    <row r="124" spans="1:4">
      <c r="A124" s="789"/>
    </row>
  </sheetData>
  <mergeCells count="118">
    <mergeCell ref="A105:B105"/>
    <mergeCell ref="A106:B106"/>
    <mergeCell ref="A107:B107"/>
    <mergeCell ref="A108:B108"/>
    <mergeCell ref="A109:B109"/>
    <mergeCell ref="C105:D105"/>
    <mergeCell ref="C106:D106"/>
    <mergeCell ref="C107:D107"/>
    <mergeCell ref="C108:D108"/>
    <mergeCell ref="C109:D109"/>
    <mergeCell ref="A112:D112"/>
    <mergeCell ref="A7:D7"/>
    <mergeCell ref="A8:D8"/>
    <mergeCell ref="A9:D9"/>
    <mergeCell ref="A10:D10"/>
    <mergeCell ref="A5:D5"/>
    <mergeCell ref="A26:D26"/>
    <mergeCell ref="A110:D110"/>
    <mergeCell ref="A111:D111"/>
    <mergeCell ref="A99:D99"/>
    <mergeCell ref="A100:D100"/>
    <mergeCell ref="A101:D101"/>
    <mergeCell ref="A102:D102"/>
    <mergeCell ref="A103:D103"/>
    <mergeCell ref="A104:D104"/>
    <mergeCell ref="A93:D93"/>
    <mergeCell ref="A94:D94"/>
    <mergeCell ref="A95:D95"/>
    <mergeCell ref="A96:D96"/>
    <mergeCell ref="A97:D97"/>
    <mergeCell ref="A98:D98"/>
    <mergeCell ref="A87:D87"/>
    <mergeCell ref="A88:D88"/>
    <mergeCell ref="A89:D89"/>
    <mergeCell ref="A90:D90"/>
    <mergeCell ref="A91:D91"/>
    <mergeCell ref="A92:D92"/>
    <mergeCell ref="A81:D81"/>
    <mergeCell ref="A82:D82"/>
    <mergeCell ref="A83:D83"/>
    <mergeCell ref="A84:D84"/>
    <mergeCell ref="A85:D85"/>
    <mergeCell ref="A86:D86"/>
    <mergeCell ref="A75:D75"/>
    <mergeCell ref="A76:D76"/>
    <mergeCell ref="A77:D77"/>
    <mergeCell ref="A78:D78"/>
    <mergeCell ref="A79:D79"/>
    <mergeCell ref="A80:D80"/>
    <mergeCell ref="A69:D69"/>
    <mergeCell ref="A70:D70"/>
    <mergeCell ref="A71:D71"/>
    <mergeCell ref="A72:D72"/>
    <mergeCell ref="A73:D73"/>
    <mergeCell ref="A74:D74"/>
    <mergeCell ref="A63:D63"/>
    <mergeCell ref="A64:D64"/>
    <mergeCell ref="A65:D65"/>
    <mergeCell ref="A66:D66"/>
    <mergeCell ref="A67:D67"/>
    <mergeCell ref="A68:D68"/>
    <mergeCell ref="A57:D57"/>
    <mergeCell ref="A58:D58"/>
    <mergeCell ref="A59:D59"/>
    <mergeCell ref="A60:D60"/>
    <mergeCell ref="A61:D61"/>
    <mergeCell ref="A62:D62"/>
    <mergeCell ref="A36:D36"/>
    <mergeCell ref="A37:D37"/>
    <mergeCell ref="A38:D38"/>
    <mergeCell ref="A51:D51"/>
    <mergeCell ref="A52:D52"/>
    <mergeCell ref="A53:D53"/>
    <mergeCell ref="A54:D54"/>
    <mergeCell ref="A55:D55"/>
    <mergeCell ref="A56:D56"/>
    <mergeCell ref="A45:D45"/>
    <mergeCell ref="A46:D46"/>
    <mergeCell ref="A47:D47"/>
    <mergeCell ref="A48:D48"/>
    <mergeCell ref="A49:D49"/>
    <mergeCell ref="A50:D50"/>
    <mergeCell ref="A113:D113"/>
    <mergeCell ref="A1:D1"/>
    <mergeCell ref="A2:D2"/>
    <mergeCell ref="A3:D3"/>
    <mergeCell ref="A4:D4"/>
    <mergeCell ref="A6:D6"/>
    <mergeCell ref="A11:D11"/>
    <mergeCell ref="A12:D12"/>
    <mergeCell ref="A13:D13"/>
    <mergeCell ref="A20:D20"/>
    <mergeCell ref="A21:D21"/>
    <mergeCell ref="A22:D22"/>
    <mergeCell ref="A23:D23"/>
    <mergeCell ref="A24:D24"/>
    <mergeCell ref="A25:D25"/>
    <mergeCell ref="A14:D14"/>
    <mergeCell ref="A15:D15"/>
    <mergeCell ref="A17:D17"/>
    <mergeCell ref="A39:D39"/>
    <mergeCell ref="A40:D40"/>
    <mergeCell ref="A41:D41"/>
    <mergeCell ref="A42:D42"/>
    <mergeCell ref="A43:D43"/>
    <mergeCell ref="A44:D44"/>
    <mergeCell ref="A16:D16"/>
    <mergeCell ref="A18:D18"/>
    <mergeCell ref="A19:D19"/>
    <mergeCell ref="A33:D33"/>
    <mergeCell ref="A34:D34"/>
    <mergeCell ref="A35:D35"/>
    <mergeCell ref="A27:D27"/>
    <mergeCell ref="A28:D28"/>
    <mergeCell ref="A29:D29"/>
    <mergeCell ref="A30:D30"/>
    <mergeCell ref="A31:D31"/>
    <mergeCell ref="A32:D32"/>
  </mergeCells>
  <pageMargins left="0.7" right="0.7" top="0.75" bottom="0.75" header="0.3" footer="0.3"/>
  <pageSetup fitToWidth="20" fitToHeight="20" orientation="portrait" r:id="rId1"/>
  <headerFooter>
    <oddFooter>&amp;L&amp;10الكفلاء (ان انطبق)
_____________________________________&amp;C&amp;10الفريق الثاني (المستأجر)
________________________________&amp;R&amp;10الفريق الأول (شركة الإجارة الفلسطينية)
_________________________________</oddFooter>
  </headerFooter>
  <rowBreaks count="1" manualBreakCount="1">
    <brk id="109" max="16383"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0"/>
  <dimension ref="A1:H282"/>
  <sheetViews>
    <sheetView showGridLines="0" rightToLeft="1" view="pageBreakPreview" zoomScale="85" zoomScaleNormal="115" zoomScaleSheetLayoutView="85" workbookViewId="0">
      <selection activeCell="F116" sqref="F116"/>
    </sheetView>
  </sheetViews>
  <sheetFormatPr defaultColWidth="9.140625" defaultRowHeight="15"/>
  <cols>
    <col min="1" max="1" width="39.7109375" style="612" customWidth="1"/>
    <col min="2" max="4" width="39.140625" style="612" customWidth="1"/>
    <col min="5" max="16384" width="9.140625" style="612"/>
  </cols>
  <sheetData>
    <row r="1" spans="1:4" ht="22.5">
      <c r="A1" s="1572" t="s">
        <v>783</v>
      </c>
      <c r="B1" s="1572"/>
      <c r="C1" s="1572"/>
      <c r="D1" s="1572"/>
    </row>
    <row r="2" spans="1:4" ht="27.75">
      <c r="A2" s="1568" t="str">
        <f>"التاريخ: "&amp;TEXT('مدخلات العقود'!$J$15,"dd/mm/yyyy")</f>
        <v>التاريخ: 00/01/1900</v>
      </c>
      <c r="B2" s="1568"/>
      <c r="C2" s="1568"/>
      <c r="D2" s="1568"/>
    </row>
    <row r="3" spans="1:4" ht="27.75">
      <c r="A3" s="1568" t="s">
        <v>1148</v>
      </c>
      <c r="B3" s="1568"/>
      <c r="C3" s="1568"/>
      <c r="D3" s="1568"/>
    </row>
    <row r="4" spans="1:4" ht="27.75">
      <c r="A4" s="1568" t="s">
        <v>784</v>
      </c>
      <c r="B4" s="1568"/>
      <c r="C4" s="1568"/>
      <c r="D4" s="1568"/>
    </row>
    <row r="5" spans="1:4" ht="27.75">
      <c r="A5" s="1569" t="s">
        <v>785</v>
      </c>
      <c r="B5" s="1569"/>
      <c r="C5" s="1569"/>
      <c r="D5" s="1569"/>
    </row>
    <row r="6" spans="1:4" ht="60" customHeight="1">
      <c r="A6" s="1568" t="str">
        <f>"السيد/ السيدة: "&amp;'مدخلات العقود'!$B$2&amp;"، حامل هوية رقم: "&amp;'مدخلات العقود'!$D$2&amp;"، والصادرة في: "&amp;'مدخلات العقود'!$F$2&amp;"، بتاريخ: "&amp;TEXT('مدخلات العقود'!$H$2,"dd/mm/yyyy")&amp;"، وعنوانة لغايات التبليغ: "&amp;'مدخلات العقود'!$J$2&amp;"، ورقم هاتفه: "&amp;'مدخلات العقود'!$L$2</f>
        <v>السيد/ السيدة: 0، حامل هوية رقم: 0، والصادرة في: ، بتاريخ: 00/01/1900، وعنوانة لغايات التبليغ:  -  -  - ، ورقم هاتفه: 0</v>
      </c>
      <c r="B6" s="1568"/>
      <c r="C6" s="1568"/>
      <c r="D6" s="1568"/>
    </row>
    <row r="7" spans="1:4" ht="27.75">
      <c r="A7" s="1570" t="s">
        <v>1149</v>
      </c>
      <c r="B7" s="1570"/>
      <c r="C7" s="1570"/>
      <c r="D7" s="1570"/>
    </row>
    <row r="8" spans="1:4" ht="27.75">
      <c r="A8" s="1571" t="s">
        <v>786</v>
      </c>
      <c r="B8" s="1571"/>
      <c r="C8" s="1571"/>
      <c r="D8" s="1571"/>
    </row>
    <row r="9" spans="1:4" ht="56.1" customHeight="1">
      <c r="A9" s="1570" t="str">
        <f>"1. بالإشارة إلى عقد التأجير المبرم بين المؤجر والمستأجر بتاريخ "&amp;TEXT('مدخلات العقود'!$J$15,"dd/mm/yyyy")&amp;" رقم "&amp;'مدخلات العقود'!$J$14&amp;" والمشار اليه فيما يلي (بـ 'عقد التأجير')، والذي وافق من خلاله المؤجر على تأجير العين المؤجرة للمستأجر وفقا للشروط والاحكام الموضحة في عقد التأجير."</f>
        <v>1. بالإشارة إلى عقد التأجير المبرم بين المؤجر والمستأجر بتاريخ 00/01/1900 رقم  والمشار اليه فيما يلي (بـ 'عقد التأجير')، والذي وافق من خلاله المؤجر على تأجير العين المؤجرة للمستأجر وفقا للشروط والاحكام الموضحة في عقد التأجير.</v>
      </c>
      <c r="B9" s="1570"/>
      <c r="C9" s="1570"/>
      <c r="D9" s="1570"/>
    </row>
    <row r="10" spans="1:4" ht="27.75">
      <c r="A10" s="1570" t="s">
        <v>1146</v>
      </c>
      <c r="B10" s="1570"/>
      <c r="C10" s="1570"/>
      <c r="D10" s="1570"/>
    </row>
    <row r="11" spans="1:4" ht="120" customHeight="1">
      <c r="A11" s="1570" t="s">
        <v>1150</v>
      </c>
      <c r="B11" s="1570"/>
      <c r="C11" s="1570"/>
      <c r="D11" s="1570"/>
    </row>
    <row r="12" spans="1:4" ht="56.1" customHeight="1">
      <c r="A12" s="1570" t="s">
        <v>1147</v>
      </c>
      <c r="B12" s="1570"/>
      <c r="C12" s="1570"/>
      <c r="D12" s="1570"/>
    </row>
    <row r="13" spans="1:4" ht="27.75">
      <c r="A13" s="1568" t="s">
        <v>1151</v>
      </c>
      <c r="B13" s="1568"/>
      <c r="C13" s="1568"/>
      <c r="D13" s="1568"/>
    </row>
    <row r="14" spans="1:4" ht="27.75">
      <c r="A14" s="1570" t="s">
        <v>787</v>
      </c>
      <c r="B14" s="1570"/>
      <c r="C14" s="1570"/>
      <c r="D14" s="1570"/>
    </row>
    <row r="15" spans="1:4" ht="120" customHeight="1">
      <c r="A15" s="1573" t="s">
        <v>1161</v>
      </c>
      <c r="B15" s="1570"/>
      <c r="C15" s="1570"/>
      <c r="D15" s="1570"/>
    </row>
    <row r="16" spans="1:4" ht="27.75">
      <c r="A16" s="1573" t="s">
        <v>1152</v>
      </c>
      <c r="B16" s="1570"/>
      <c r="C16" s="1570"/>
      <c r="D16" s="1570"/>
    </row>
    <row r="17" spans="1:4" ht="27.75">
      <c r="A17" s="1573" t="s">
        <v>1153</v>
      </c>
      <c r="B17" s="1570"/>
      <c r="C17" s="1570"/>
      <c r="D17" s="1570"/>
    </row>
    <row r="18" spans="1:4" ht="27.75">
      <c r="A18" s="1573" t="s">
        <v>1154</v>
      </c>
      <c r="B18" s="1573"/>
      <c r="C18" s="1573"/>
      <c r="D18" s="1573"/>
    </row>
    <row r="19" spans="1:4" ht="56.1" customHeight="1">
      <c r="A19" s="1573" t="s">
        <v>1162</v>
      </c>
      <c r="B19" s="1573"/>
      <c r="C19" s="1573"/>
      <c r="D19" s="1573"/>
    </row>
    <row r="20" spans="1:4" ht="27.75">
      <c r="A20" s="1573" t="s">
        <v>788</v>
      </c>
      <c r="B20" s="1573"/>
      <c r="C20" s="1573"/>
      <c r="D20" s="1573"/>
    </row>
    <row r="21" spans="1:4" ht="56.1" customHeight="1">
      <c r="A21" s="1573" t="s">
        <v>789</v>
      </c>
      <c r="B21" s="1570"/>
      <c r="C21" s="1570"/>
      <c r="D21" s="1570"/>
    </row>
    <row r="22" spans="1:4" ht="56.1" customHeight="1">
      <c r="A22" s="1573" t="s">
        <v>790</v>
      </c>
      <c r="B22" s="1570"/>
      <c r="C22" s="1570"/>
      <c r="D22" s="1570"/>
    </row>
    <row r="23" spans="1:4" ht="56.1" customHeight="1">
      <c r="A23" s="1573" t="s">
        <v>791</v>
      </c>
      <c r="B23" s="1570"/>
      <c r="C23" s="1570"/>
      <c r="D23" s="1570"/>
    </row>
    <row r="24" spans="1:4" ht="27.75">
      <c r="A24" s="1573" t="s">
        <v>792</v>
      </c>
      <c r="B24" s="1570"/>
      <c r="C24" s="1570"/>
      <c r="D24" s="1570"/>
    </row>
    <row r="25" spans="1:4" ht="27.75">
      <c r="A25" s="831"/>
      <c r="B25" s="823"/>
      <c r="C25" s="823"/>
      <c r="D25" s="823"/>
    </row>
    <row r="26" spans="1:4" ht="27.75">
      <c r="A26" s="1568" t="str">
        <f>"اسم المستأجر: "&amp;'مدخلات العقود'!$B$2</f>
        <v>اسم المستأجر: 0</v>
      </c>
      <c r="B26" s="1568"/>
      <c r="C26" s="817" t="s">
        <v>1163</v>
      </c>
      <c r="D26" s="818" t="str">
        <f>"التاريخ: "&amp;TEXT('مدخلات العقود'!$J$15,"dd/mm/yyyy")</f>
        <v>التاريخ: 00/01/1900</v>
      </c>
    </row>
    <row r="28" spans="1:4" ht="22.5">
      <c r="A28" s="1572" t="s">
        <v>783</v>
      </c>
      <c r="B28" s="1572"/>
      <c r="C28" s="1572"/>
      <c r="D28" s="1572"/>
    </row>
    <row r="29" spans="1:4" ht="27.75">
      <c r="A29" s="1568" t="str">
        <f>"التاريخ: "&amp;TEXT('مدخلات العقود'!$J$15,"dd/mm/yyyy")</f>
        <v>التاريخ: 00/01/1900</v>
      </c>
      <c r="B29" s="1568"/>
      <c r="C29" s="1568"/>
      <c r="D29" s="1568"/>
    </row>
    <row r="30" spans="1:4" ht="27.75">
      <c r="A30" s="1568" t="s">
        <v>1148</v>
      </c>
      <c r="B30" s="1568"/>
      <c r="C30" s="1568"/>
      <c r="D30" s="1568"/>
    </row>
    <row r="31" spans="1:4" ht="27.75">
      <c r="A31" s="1568" t="s">
        <v>784</v>
      </c>
      <c r="B31" s="1568"/>
      <c r="C31" s="1568"/>
      <c r="D31" s="1568"/>
    </row>
    <row r="32" spans="1:4" ht="27.75">
      <c r="A32" s="1569" t="s">
        <v>785</v>
      </c>
      <c r="B32" s="1569"/>
      <c r="C32" s="1569"/>
      <c r="D32" s="1569"/>
    </row>
    <row r="33" spans="1:4" ht="60" customHeight="1">
      <c r="A33" s="1568" t="str">
        <f>"السيد/ السيدة: "&amp;'مدخلات العقود'!$B$2&amp;"، حامل هوية رقم: "&amp;'مدخلات العقود'!$D$2&amp;"، والصادرة في: "&amp;'مدخلات العقود'!$F$2&amp;"، بتاريخ: "&amp;TEXT('مدخلات العقود'!$H$2,"dd/mm/yyyy")&amp;"، وعنوانة لغايات التبليغ: "&amp;'مدخلات العقود'!$J$2&amp;"، ورقم هاتفه: "&amp;'مدخلات العقود'!$L$2</f>
        <v>السيد/ السيدة: 0، حامل هوية رقم: 0، والصادرة في: ، بتاريخ: 00/01/1900، وعنوانة لغايات التبليغ:  -  -  - ، ورقم هاتفه: 0</v>
      </c>
      <c r="B33" s="1568"/>
      <c r="C33" s="1568"/>
      <c r="D33" s="1568"/>
    </row>
    <row r="34" spans="1:4" ht="27.75">
      <c r="A34" s="1570" t="s">
        <v>1149</v>
      </c>
      <c r="B34" s="1570"/>
      <c r="C34" s="1570"/>
      <c r="D34" s="1570"/>
    </row>
    <row r="35" spans="1:4" ht="27.75">
      <c r="A35" s="1571" t="s">
        <v>786</v>
      </c>
      <c r="B35" s="1571"/>
      <c r="C35" s="1571"/>
      <c r="D35" s="1571"/>
    </row>
    <row r="36" spans="1:4" ht="56.1" customHeight="1">
      <c r="A36" s="1570" t="str">
        <f>"1. بالإشارة إلى عقد التأجير المبرم بين المؤجر والمستأجر بتاريخ "&amp;TEXT('مدخلات العقود'!$J$15,"dd/mm/yyyy")&amp;" رقم "&amp;'مدخلات العقود'!$J$14&amp;" والمشار اليه فيما يلي (بـ 'عقد التأجير')، والذي وافق من خلاله المؤجر على تأجير العين المؤجرة للمستأجر وفقا للشروط والاحكام الموضحة في عقد التأجير."</f>
        <v>1. بالإشارة إلى عقد التأجير المبرم بين المؤجر والمستأجر بتاريخ 00/01/1900 رقم  والمشار اليه فيما يلي (بـ 'عقد التأجير')، والذي وافق من خلاله المؤجر على تأجير العين المؤجرة للمستأجر وفقا للشروط والاحكام الموضحة في عقد التأجير.</v>
      </c>
      <c r="B36" s="1570"/>
      <c r="C36" s="1570"/>
      <c r="D36" s="1570"/>
    </row>
    <row r="37" spans="1:4" ht="27.75">
      <c r="A37" s="1570" t="s">
        <v>1146</v>
      </c>
      <c r="B37" s="1570"/>
      <c r="C37" s="1570"/>
      <c r="D37" s="1570"/>
    </row>
    <row r="38" spans="1:4" ht="120" customHeight="1">
      <c r="A38" s="1570" t="s">
        <v>1150</v>
      </c>
      <c r="B38" s="1570"/>
      <c r="C38" s="1570"/>
      <c r="D38" s="1570"/>
    </row>
    <row r="39" spans="1:4" ht="56.1" customHeight="1">
      <c r="A39" s="1570" t="s">
        <v>1147</v>
      </c>
      <c r="B39" s="1570"/>
      <c r="C39" s="1570"/>
      <c r="D39" s="1570"/>
    </row>
    <row r="40" spans="1:4" ht="27.75">
      <c r="A40" s="1568" t="s">
        <v>1151</v>
      </c>
      <c r="B40" s="1568"/>
      <c r="C40" s="1568"/>
      <c r="D40" s="1568"/>
    </row>
    <row r="41" spans="1:4" ht="27.75">
      <c r="A41" s="1570" t="s">
        <v>787</v>
      </c>
      <c r="B41" s="1570"/>
      <c r="C41" s="1570"/>
      <c r="D41" s="1570"/>
    </row>
    <row r="42" spans="1:4" ht="120" customHeight="1">
      <c r="A42" s="1573" t="s">
        <v>1161</v>
      </c>
      <c r="B42" s="1570"/>
      <c r="C42" s="1570"/>
      <c r="D42" s="1570"/>
    </row>
    <row r="43" spans="1:4" ht="27.75">
      <c r="A43" s="1573" t="s">
        <v>1152</v>
      </c>
      <c r="B43" s="1570"/>
      <c r="C43" s="1570"/>
      <c r="D43" s="1570"/>
    </row>
    <row r="44" spans="1:4" ht="27.75">
      <c r="A44" s="1573" t="s">
        <v>1153</v>
      </c>
      <c r="B44" s="1570"/>
      <c r="C44" s="1570"/>
      <c r="D44" s="1570"/>
    </row>
    <row r="45" spans="1:4" ht="27.75">
      <c r="A45" s="1573" t="s">
        <v>1154</v>
      </c>
      <c r="B45" s="1573"/>
      <c r="C45" s="1573"/>
      <c r="D45" s="1573"/>
    </row>
    <row r="46" spans="1:4" ht="56.1" customHeight="1">
      <c r="A46" s="1573" t="s">
        <v>1162</v>
      </c>
      <c r="B46" s="1573"/>
      <c r="C46" s="1573"/>
      <c r="D46" s="1573"/>
    </row>
    <row r="47" spans="1:4" ht="27.75">
      <c r="A47" s="1573" t="s">
        <v>788</v>
      </c>
      <c r="B47" s="1573"/>
      <c r="C47" s="1573"/>
      <c r="D47" s="1573"/>
    </row>
    <row r="48" spans="1:4" ht="56.1" customHeight="1">
      <c r="A48" s="1573" t="s">
        <v>789</v>
      </c>
      <c r="B48" s="1570"/>
      <c r="C48" s="1570"/>
      <c r="D48" s="1570"/>
    </row>
    <row r="49" spans="1:8" ht="56.1" customHeight="1">
      <c r="A49" s="1573" t="s">
        <v>790</v>
      </c>
      <c r="B49" s="1570"/>
      <c r="C49" s="1570"/>
      <c r="D49" s="1570"/>
    </row>
    <row r="50" spans="1:8" ht="56.1" customHeight="1">
      <c r="A50" s="1573" t="s">
        <v>791</v>
      </c>
      <c r="B50" s="1570"/>
      <c r="C50" s="1570"/>
      <c r="D50" s="1570"/>
    </row>
    <row r="51" spans="1:8" ht="27.75">
      <c r="A51" s="1573" t="s">
        <v>792</v>
      </c>
      <c r="B51" s="1570"/>
      <c r="C51" s="1570"/>
      <c r="D51" s="1570"/>
    </row>
    <row r="52" spans="1:8" ht="27.75">
      <c r="A52" s="831"/>
      <c r="B52" s="823"/>
      <c r="C52" s="823"/>
      <c r="D52" s="823"/>
    </row>
    <row r="53" spans="1:8" ht="27.75">
      <c r="A53" s="1568" t="str">
        <f>"اسم المستأجر: "&amp;'مدخلات العقود'!$B$2</f>
        <v>اسم المستأجر: 0</v>
      </c>
      <c r="B53" s="1568"/>
      <c r="C53" s="817" t="s">
        <v>1163</v>
      </c>
      <c r="D53" s="818" t="str">
        <f>"التاريخ: "&amp;TEXT('مدخلات العقود'!$J$15,"dd/mm/yyyy")</f>
        <v>التاريخ: 00/01/1900</v>
      </c>
    </row>
    <row r="55" spans="1:8" ht="35.25">
      <c r="A55" s="1574" t="s">
        <v>793</v>
      </c>
      <c r="B55" s="1574"/>
      <c r="C55" s="1574"/>
      <c r="D55" s="1574"/>
    </row>
    <row r="56" spans="1:8" ht="60" customHeight="1">
      <c r="A56" s="1575" t="str">
        <f>"أنا الموقع اسمي "&amp;'مدخلات العقود'!$B$2&amp;"، حامل هوية رقم: "&amp;'مدخلات العقود'!$D$2&amp;"، والصادرة في: "&amp;'مدخلات العقود'!$F$2&amp;"، بتاريخ: "&amp;TEXT('مدخلات العقود'!$H$2,"dd/mm/yyyy")&amp;"، وعنوانة لغايات التبليغ: "&amp;'مدخلات العقود'!$J$2&amp;"، ورقم هاتفه: "&amp;'مدخلات العقود'!$L$2</f>
        <v>أنا الموقع اسمي 0، حامل هوية رقم: 0، والصادرة في: ، بتاريخ: 00/01/1900، وعنوانة لغايات التبليغ:  -  -  - ، ورقم هاتفه: 0</v>
      </c>
      <c r="B56" s="1575"/>
      <c r="C56" s="1575"/>
      <c r="D56" s="1575"/>
      <c r="E56" s="785"/>
      <c r="F56" s="785"/>
      <c r="G56" s="788"/>
      <c r="H56" s="785"/>
    </row>
    <row r="57" spans="1:8" ht="60" customHeight="1">
      <c r="A57" s="824" t="str">
        <f>'مدخلات العقود'!E12</f>
        <v>وصف العين المراد استئجارها</v>
      </c>
      <c r="B57" s="1576" t="str">
        <f>'مدخلات العقود'!$F$12</f>
        <v/>
      </c>
      <c r="C57" s="1577"/>
      <c r="D57" s="1578"/>
      <c r="E57" s="785"/>
      <c r="F57" s="774"/>
    </row>
    <row r="58" spans="1:8" ht="60" customHeight="1">
      <c r="A58" s="824" t="str">
        <f>'مدخلات العقود'!I12</f>
        <v>رقم الشاصي</v>
      </c>
      <c r="B58" s="1576" t="str">
        <f>'مدخلات العقود'!$J$12</f>
        <v/>
      </c>
      <c r="C58" s="1577"/>
      <c r="D58" s="1578"/>
      <c r="E58" s="785"/>
      <c r="F58" s="774"/>
    </row>
    <row r="59" spans="1:8" ht="60" customHeight="1">
      <c r="A59" s="824" t="str">
        <f>'مدخلات العقود'!G12</f>
        <v>تاريخ الإنتاج</v>
      </c>
      <c r="B59" s="1576">
        <f>'مدخلات العقود'!$H$12</f>
        <v>2015</v>
      </c>
      <c r="C59" s="1577"/>
      <c r="D59" s="1578"/>
      <c r="E59" s="785"/>
      <c r="F59" s="774"/>
    </row>
    <row r="60" spans="1:8" ht="60" customHeight="1">
      <c r="A60" s="824" t="str">
        <f>'مدخلات العقود'!K12</f>
        <v>اية تفاصيل اخرى</v>
      </c>
      <c r="B60" s="1576" t="str">
        <f>'مدخلات العقود'!$L$12</f>
        <v/>
      </c>
      <c r="C60" s="1577"/>
      <c r="D60" s="1578"/>
      <c r="E60" s="785"/>
      <c r="F60" s="774"/>
    </row>
    <row r="61" spans="1:8" ht="27.75">
      <c r="A61" s="822"/>
      <c r="B61" s="816"/>
      <c r="C61" s="816"/>
      <c r="D61" s="816"/>
    </row>
    <row r="62" spans="1:8" ht="90" customHeight="1">
      <c r="A62" s="1570" t="str">
        <f>"ايجارا منتهيا بالتمليك وبما ان المؤجر وبالاستناد الى هذه العقود قد قام بالتعاقد مع المورد بموجب عقد التوريد والشراء والموقع بتاريخ "&amp;TEXT('مدخلات العقود'!$J$15,"dd/mm/yyyy")&amp;" ولما كان من  شان هذه العقود جميعها ان ترتب في ذمتي التزامات مالية ببدلات ايجار – دفعات ايجارية - و/او مبالغ و/او تعويضات"&amp;" بالاضافة الى اية مصاريف ونفقات مستحقة و/أو قد تستحق بذمتي تجاه الشركة المذكورة وفقا لجدول السداد الموقع من المقر وعليه فانني اقر واتعهد واصرح وانا بكامل الصفات المعتبرة شرعا وقانونا بما يلي:"</f>
        <v>ايجارا منتهيا بالتمليك وبما ان المؤجر وبالاستناد الى هذه العقود قد قام بالتعاقد مع المورد بموجب عقد التوريد والشراء والموقع بتاريخ 00/01/1900 ولما كان من  شان هذه العقود جميعها ان ترتب في ذمتي التزامات مالية ببدلات ايجار – دفعات ايجارية - و/او مبالغ و/او تعويضات بالاضافة الى اية مصاريف ونفقات مستحقة و/أو قد تستحق بذمتي تجاه الشركة المذكورة وفقا لجدول السداد الموقع من المقر وعليه فانني اقر واتعهد واصرح وانا بكامل الصفات المعتبرة شرعا وقانونا بما يلي:</v>
      </c>
      <c r="B62" s="1570"/>
      <c r="C62" s="1570"/>
      <c r="D62" s="1570"/>
    </row>
    <row r="63" spans="1:8" ht="90" customHeight="1">
      <c r="A63" s="1570" t="str">
        <f>"تعتبر مقدمة هذا السند وملاحقه ومرفقاته جزء لا يتجزأ منه وتقرأ معه كوحدة واحدة، كما يعتبر هذا السند جزء لا يتجزأ من عقد التاجير – الاجارة المنتهية بالتمليك - الموقع فيما بين المقر والشركة بتاريخ "&amp;TEXT('مدخلات العقود'!$J$15,"dd/mm/yyyy")&amp;" وعقد الشراء والتوريد الموقع بالاستناد الى العقود المذكورة فيما بين الشركة والمورد بتاريخ "&amp;TEXT('مدخلات العقود'!$J$15,"dd/mm/yyyy")&amp;" والمشار اليها جميعها فيما  يلي بالعقود الاصلية."</f>
        <v>تعتبر مقدمة هذا السند وملاحقه ومرفقاته جزء لا يتجزأ منه وتقرأ معه كوحدة واحدة، كما يعتبر هذا السند جزء لا يتجزأ من عقد التاجير – الاجارة المنتهية بالتمليك - الموقع فيما بين المقر والشركة بتاريخ 00/01/1900 وعقد الشراء والتوريد الموقع بالاستناد الى العقود المذكورة فيما بين الشركة والمورد بتاريخ 00/01/1900 والمشار اليها جميعها فيما  يلي بالعقود الاصلية.</v>
      </c>
      <c r="B63" s="1570"/>
      <c r="C63" s="1570"/>
      <c r="D63" s="1570"/>
    </row>
    <row r="64" spans="1:8" ht="90" customHeight="1">
      <c r="A64" s="1570" t="s">
        <v>794</v>
      </c>
      <c r="B64" s="1570"/>
      <c r="C64" s="1570"/>
      <c r="D64" s="1570"/>
    </row>
    <row r="65" spans="1:8" ht="200.1" customHeight="1">
      <c r="A65" s="1570" t="s">
        <v>1164</v>
      </c>
      <c r="B65" s="1570"/>
      <c r="C65" s="1570"/>
      <c r="D65" s="1570"/>
    </row>
    <row r="66" spans="1:8" ht="27.75">
      <c r="A66" s="1570" t="s">
        <v>1165</v>
      </c>
      <c r="B66" s="1570"/>
      <c r="C66" s="1570"/>
      <c r="D66" s="1570"/>
    </row>
    <row r="67" spans="1:8" ht="27.75">
      <c r="A67" s="1570" t="s">
        <v>1166</v>
      </c>
      <c r="B67" s="1570"/>
      <c r="C67" s="1570"/>
      <c r="D67" s="1570"/>
    </row>
    <row r="68" spans="1:8" ht="27.75">
      <c r="A68" s="1570" t="s">
        <v>1167</v>
      </c>
      <c r="B68" s="1570"/>
      <c r="C68" s="1570"/>
      <c r="D68" s="1570"/>
    </row>
    <row r="69" spans="1:8" ht="27.75">
      <c r="A69" s="1570" t="str">
        <f>"5. إنني أوقع هذا السند إقرار والتزاما مني بما ورد في هذا اليوم ______________________ الموافق "&amp;TEXT('مدخلات العقود'!$J$15,"dd/mm/yyyy")</f>
        <v>5. إنني أوقع هذا السند إقرار والتزاما مني بما ورد في هذا اليوم ______________________ الموافق 00/01/1900</v>
      </c>
      <c r="B69" s="1570"/>
      <c r="C69" s="1570"/>
      <c r="D69" s="1570"/>
    </row>
    <row r="70" spans="1:8" ht="27.75">
      <c r="A70" s="823"/>
      <c r="B70" s="823"/>
      <c r="C70" s="823"/>
      <c r="D70" s="823"/>
    </row>
    <row r="71" spans="1:8" ht="27.75">
      <c r="A71" s="823"/>
      <c r="B71" s="823"/>
      <c r="C71" s="823"/>
      <c r="D71" s="823"/>
    </row>
    <row r="72" spans="1:8" ht="27.75">
      <c r="A72" s="823"/>
      <c r="B72" s="823"/>
      <c r="C72" s="823"/>
      <c r="D72" s="823"/>
    </row>
    <row r="73" spans="1:8" ht="27.75">
      <c r="A73" s="823"/>
      <c r="B73" s="823"/>
      <c r="C73" s="823"/>
      <c r="D73" s="823"/>
    </row>
    <row r="74" spans="1:8" ht="27.75">
      <c r="A74" s="1568" t="str">
        <f>"الاسم: "&amp;'مدخلات العقود'!$B$2</f>
        <v>الاسم: 0</v>
      </c>
      <c r="B74" s="1568"/>
      <c r="C74" s="1568" t="s">
        <v>256</v>
      </c>
      <c r="D74" s="1568"/>
    </row>
    <row r="75" spans="1:8" ht="27.75">
      <c r="A75" s="816"/>
      <c r="B75" s="816"/>
      <c r="C75" s="816"/>
      <c r="D75" s="816"/>
    </row>
    <row r="76" spans="1:8" ht="35.25">
      <c r="A76" s="1574" t="s">
        <v>795</v>
      </c>
      <c r="B76" s="1574"/>
      <c r="C76" s="1574"/>
      <c r="D76" s="1574"/>
    </row>
    <row r="77" spans="1:8" ht="30">
      <c r="A77" s="825" t="str">
        <f>"التاريخ "&amp;TEXT('مدخلات العقود'!$J$15,"dd/mm/yyyy")</f>
        <v>التاريخ 00/01/1900</v>
      </c>
      <c r="B77" s="820"/>
      <c r="C77" s="820"/>
      <c r="D77" s="820"/>
    </row>
    <row r="78" spans="1:8" ht="60" customHeight="1">
      <c r="A78" s="1546" t="str">
        <f>"انا الموقع ادناه، "&amp;'مدخلات العقود'!$B$2&amp;"، حامل هوية رقم: "&amp;'مدخلات العقود'!$D$2&amp;"، والصادرة في: "&amp;'مدخلات العقود'!$F$2&amp;"، بتاريخ: "&amp;TEXT('مدخلات العقود'!$H$2,"dd/mm/yyyy")&amp;"، وعنوانة لغايات التبليغ: "&amp;'مدخلات العقود'!$J$2&amp;"، ورقم هاتفه: "&amp;'مدخلات العقود'!$L$2</f>
        <v>انا الموقع ادناه، 0، حامل هوية رقم: 0، والصادرة في: ، بتاريخ: 00/01/1900، وعنوانة لغايات التبليغ:  -  -  - ، ورقم هاتفه: 0</v>
      </c>
      <c r="B78" s="1546"/>
      <c r="C78" s="1546"/>
      <c r="D78" s="1546"/>
      <c r="E78" s="775"/>
      <c r="F78" s="775"/>
      <c r="G78" s="776"/>
      <c r="H78" s="775"/>
    </row>
    <row r="79" spans="1:8" ht="150" customHeight="1">
      <c r="A79" s="1546" t="str">
        <f>"اتعهد لشركة الاجارة الفلسطينية بالقيام بتأمين العين وترخيصة (من الدوائر الرسمية حسب القوانين المعمول بها في حال استدعى العين تراخيص معينة)"&amp;" المبينة مواصفاتها ادناه، والتي استأجرها اجارة منتهية بالتمليك بموجب عقد الاجارة الموقع مع شركة الاجارة الفلسطيننية بتاريخ "&amp;TEXT('مدخلات العقود'!$J$15,"dd/mm/yyyy")&amp;"، في موعد استحقاقهما وطوال فترة العقد. واتحمل كامل المسؤولية المالية والقانونية في حال عدم القيام بتامين وترخيص العين (من الدوائر الرسمية حسب القوانين المعمول بها)"&amp;" في موعد استحقاقهما، وكما اتعهد بدفع قيمة وثائق التأمين ورسوم الترخيص وأية مصاريف أخرى، وهذا التعهد نهائي لا رجعة فيه وغير قابل للنقض."</f>
        <v>اتعهد لشركة الاجارة الفلسطينية بالقيام بتأمين العين وترخيصة (من الدوائر الرسمية حسب القوانين المعمول بها في حال استدعى العين تراخيص معينة) المبينة مواصفاتها ادناه، والتي استأجرها اجارة منتهية بالتمليك بموجب عقد الاجارة الموقع مع شركة الاجارة الفلسطيننية بتاريخ 00/01/1900، في موعد استحقاقهما وطوال فترة العقد. واتحمل كامل المسؤولية المالية والقانونية في حال عدم القيام بتامين وترخيص العين (من الدوائر الرسمية حسب القوانين المعمول بها) في موعد استحقاقهما، وكما اتعهد بدفع قيمة وثائق التأمين ورسوم الترخيص وأية مصاريف أخرى، وهذا التعهد نهائي لا رجعة فيه وغير قابل للنقض.</v>
      </c>
      <c r="B79" s="1546"/>
      <c r="C79" s="1546"/>
      <c r="D79" s="1546"/>
    </row>
    <row r="80" spans="1:8" ht="120" customHeight="1">
      <c r="A80" s="827" t="str">
        <f>'مدخلات العقود'!E12</f>
        <v>وصف العين المراد استئجارها</v>
      </c>
      <c r="B80" s="1579" t="str">
        <f>'مدخلات العقود'!$F$12</f>
        <v/>
      </c>
      <c r="C80" s="1580"/>
      <c r="D80" s="1581"/>
    </row>
    <row r="81" spans="1:4" ht="120" customHeight="1">
      <c r="A81" s="827" t="str">
        <f>'مدخلات العقود'!I12</f>
        <v>رقم الشاصي</v>
      </c>
      <c r="B81" s="1579" t="str">
        <f>'مدخلات العقود'!$J$12</f>
        <v/>
      </c>
      <c r="C81" s="1580"/>
      <c r="D81" s="1581"/>
    </row>
    <row r="82" spans="1:4" ht="120" customHeight="1">
      <c r="A82" s="827" t="str">
        <f>'مدخلات العقود'!G12</f>
        <v>تاريخ الإنتاج</v>
      </c>
      <c r="B82" s="1579">
        <f>'مدخلات العقود'!$H$12</f>
        <v>2015</v>
      </c>
      <c r="C82" s="1580"/>
      <c r="D82" s="1581"/>
    </row>
    <row r="83" spans="1:4" ht="120" customHeight="1">
      <c r="A83" s="827" t="str">
        <f>'مدخلات العقود'!K12</f>
        <v>اية تفاصيل اخرى</v>
      </c>
      <c r="B83" s="1579" t="str">
        <f>'مدخلات العقود'!$L$12</f>
        <v/>
      </c>
      <c r="C83" s="1580"/>
      <c r="D83" s="1581"/>
    </row>
    <row r="84" spans="1:4" ht="30">
      <c r="A84" s="826"/>
      <c r="B84" s="820"/>
      <c r="C84" s="820"/>
      <c r="D84" s="820"/>
    </row>
    <row r="85" spans="1:4" ht="30">
      <c r="A85" s="826" t="s">
        <v>256</v>
      </c>
      <c r="B85" s="820"/>
      <c r="C85" s="820"/>
      <c r="D85" s="820"/>
    </row>
    <row r="86" spans="1:4">
      <c r="A86" s="781"/>
    </row>
    <row r="87" spans="1:4" ht="62.25" customHeight="1">
      <c r="A87" s="780"/>
      <c r="B87" s="780"/>
      <c r="C87" s="780"/>
      <c r="D87" s="780"/>
    </row>
    <row r="88" spans="1:4" ht="27.75">
      <c r="A88" s="1585" t="s">
        <v>842</v>
      </c>
      <c r="B88" s="1585"/>
      <c r="C88" s="1585"/>
      <c r="D88" s="1585"/>
    </row>
    <row r="89" spans="1:4" ht="37.5">
      <c r="A89" s="1586" t="s">
        <v>843</v>
      </c>
      <c r="B89" s="1586"/>
      <c r="C89" s="1586"/>
      <c r="D89" s="1586"/>
    </row>
    <row r="90" spans="1:4" ht="30">
      <c r="A90" s="1584" t="s">
        <v>844</v>
      </c>
      <c r="B90" s="1584"/>
      <c r="C90" s="1584"/>
      <c r="D90" s="1584"/>
    </row>
    <row r="91" spans="1:4" ht="30">
      <c r="A91" s="1584" t="s">
        <v>845</v>
      </c>
      <c r="B91" s="1584"/>
      <c r="C91" s="1584"/>
      <c r="D91" s="1584"/>
    </row>
    <row r="92" spans="1:4" ht="30">
      <c r="A92" s="1546" t="s">
        <v>1188</v>
      </c>
      <c r="B92" s="1546"/>
      <c r="C92" s="1546"/>
      <c r="D92" s="1546"/>
    </row>
    <row r="93" spans="1:4" ht="30">
      <c r="A93" s="1582" t="s">
        <v>846</v>
      </c>
      <c r="B93" s="1582"/>
      <c r="C93" s="1582"/>
      <c r="D93" s="1582"/>
    </row>
    <row r="94" spans="1:4" ht="30">
      <c r="A94" s="1584" t="s">
        <v>847</v>
      </c>
      <c r="B94" s="1546"/>
      <c r="C94" s="1546"/>
      <c r="D94" s="1546"/>
    </row>
    <row r="95" spans="1:4" ht="60" customHeight="1">
      <c r="A95" s="844" t="s">
        <v>848</v>
      </c>
      <c r="B95" s="847" t="str">
        <f>'مدخلات العقود'!$B$22</f>
        <v/>
      </c>
      <c r="C95" s="844" t="s">
        <v>849</v>
      </c>
      <c r="D95" s="847" t="str">
        <f>'مدخلات العقود'!$D$22</f>
        <v/>
      </c>
    </row>
    <row r="96" spans="1:4" ht="60" customHeight="1">
      <c r="A96" s="844" t="s">
        <v>975</v>
      </c>
      <c r="B96" s="847"/>
      <c r="C96" s="844" t="s">
        <v>850</v>
      </c>
      <c r="D96" s="847" t="str">
        <f>'مدخلات العقود'!$H$22</f>
        <v/>
      </c>
    </row>
    <row r="97" spans="1:4" ht="30">
      <c r="A97" s="826"/>
      <c r="B97" s="848"/>
      <c r="C97" s="848"/>
      <c r="D97" s="848"/>
    </row>
    <row r="98" spans="1:4" ht="30">
      <c r="A98" s="1584" t="s">
        <v>851</v>
      </c>
      <c r="B98" s="1546"/>
      <c r="C98" s="1546"/>
      <c r="D98" s="1546"/>
    </row>
    <row r="99" spans="1:4" ht="60" customHeight="1">
      <c r="A99" s="844" t="s">
        <v>852</v>
      </c>
      <c r="B99" s="844" t="str">
        <f>'مدخلات العقود'!$B$21</f>
        <v/>
      </c>
      <c r="C99" s="844" t="s">
        <v>853</v>
      </c>
      <c r="D99" s="847" t="str">
        <f>'مدخلات العقود'!$D$21</f>
        <v/>
      </c>
    </row>
    <row r="100" spans="1:4" ht="60" customHeight="1">
      <c r="A100" s="844" t="s">
        <v>292</v>
      </c>
      <c r="B100" s="849" t="str">
        <f>'مدخلات العقود'!$F$21</f>
        <v/>
      </c>
      <c r="C100" s="844" t="s">
        <v>854</v>
      </c>
      <c r="D100" s="847" t="str">
        <f>'مدخلات العقود'!$H$21</f>
        <v/>
      </c>
    </row>
    <row r="101" spans="1:4" ht="30">
      <c r="A101" s="826"/>
      <c r="B101" s="848"/>
      <c r="C101" s="848"/>
      <c r="D101" s="848"/>
    </row>
    <row r="102" spans="1:4" ht="30">
      <c r="A102" s="1582" t="s">
        <v>855</v>
      </c>
      <c r="B102" s="1582"/>
      <c r="C102" s="1582"/>
      <c r="D102" s="1582"/>
    </row>
    <row r="103" spans="1:4" ht="30">
      <c r="A103" s="1584" t="s">
        <v>847</v>
      </c>
      <c r="B103" s="1546"/>
      <c r="C103" s="1546"/>
      <c r="D103" s="1546"/>
    </row>
    <row r="104" spans="1:4" ht="60" customHeight="1">
      <c r="A104" s="844" t="s">
        <v>856</v>
      </c>
      <c r="B104" s="990" t="str">
        <f>'مدخلات العقود'!$B$25</f>
        <v/>
      </c>
      <c r="C104" s="844" t="s">
        <v>857</v>
      </c>
      <c r="D104" s="847" t="str">
        <f>'مدخلات العقود'!$D$25</f>
        <v/>
      </c>
    </row>
    <row r="105" spans="1:4" ht="60" customHeight="1">
      <c r="A105" s="844" t="s">
        <v>858</v>
      </c>
      <c r="B105" s="847" t="s">
        <v>980</v>
      </c>
      <c r="C105" s="844" t="s">
        <v>854</v>
      </c>
      <c r="D105" s="847" t="str">
        <f>'مدخلات العقود'!$H$25</f>
        <v/>
      </c>
    </row>
    <row r="106" spans="1:4" ht="30">
      <c r="A106" s="826"/>
      <c r="B106" s="848"/>
      <c r="C106" s="848"/>
      <c r="D106" s="848"/>
    </row>
    <row r="107" spans="1:4" ht="30">
      <c r="A107" s="1584" t="s">
        <v>851</v>
      </c>
      <c r="B107" s="1584"/>
      <c r="C107" s="1584"/>
      <c r="D107" s="1584"/>
    </row>
    <row r="108" spans="1:4" ht="60" customHeight="1">
      <c r="A108" s="845" t="s">
        <v>859</v>
      </c>
      <c r="B108" s="1587" t="str">
        <f>'مدخلات العقود'!$B$24</f>
        <v/>
      </c>
      <c r="C108" s="1587"/>
      <c r="D108" s="1587"/>
    </row>
    <row r="109" spans="1:4" ht="60" customHeight="1">
      <c r="A109" s="844" t="s">
        <v>293</v>
      </c>
      <c r="B109" s="847" t="str">
        <f>'مدخلات العقود'!$D$24</f>
        <v/>
      </c>
      <c r="C109" s="844" t="s">
        <v>860</v>
      </c>
      <c r="D109" s="849" t="str">
        <f>'مدخلات العقود'!$F$24</f>
        <v/>
      </c>
    </row>
    <row r="110" spans="1:4" ht="30">
      <c r="A110" s="1582"/>
      <c r="B110" s="1582"/>
      <c r="C110" s="1582"/>
      <c r="D110" s="1582"/>
    </row>
    <row r="111" spans="1:4" ht="30">
      <c r="A111" s="1582" t="s">
        <v>1189</v>
      </c>
      <c r="B111" s="1582"/>
      <c r="C111" s="1582"/>
      <c r="D111" s="1582"/>
    </row>
    <row r="112" spans="1:4" ht="30">
      <c r="A112" s="845" t="s">
        <v>981</v>
      </c>
      <c r="B112" s="1587" t="str">
        <f>'مدخلات العقود'!$F$12</f>
        <v/>
      </c>
      <c r="C112" s="1587"/>
      <c r="D112" s="1587"/>
    </row>
    <row r="113" spans="1:4" ht="30">
      <c r="A113" s="845" t="s">
        <v>1187</v>
      </c>
      <c r="B113" s="1587" t="str">
        <f>'مدخلات العقود'!$L$12</f>
        <v/>
      </c>
      <c r="C113" s="1587"/>
      <c r="D113" s="1587"/>
    </row>
    <row r="114" spans="1:4" ht="30">
      <c r="A114" s="845" t="s">
        <v>982</v>
      </c>
      <c r="B114" s="1587" t="str">
        <f>'مدخلات العقود'!$J$12</f>
        <v/>
      </c>
      <c r="C114" s="1587"/>
      <c r="D114" s="1587"/>
    </row>
    <row r="115" spans="1:4" ht="48.75" customHeight="1"/>
    <row r="116" spans="1:4" ht="30">
      <c r="A116" s="1582" t="s">
        <v>861</v>
      </c>
      <c r="B116" s="1582"/>
      <c r="C116" s="1582"/>
      <c r="D116" s="1582"/>
    </row>
    <row r="117" spans="1:4" ht="27.75" customHeight="1">
      <c r="A117" s="844" t="s">
        <v>862</v>
      </c>
      <c r="B117" s="1583">
        <f>'مدخلات العقود'!$J$15</f>
        <v>0</v>
      </c>
      <c r="C117" s="1583"/>
      <c r="D117" s="1583"/>
    </row>
    <row r="118" spans="1:4" ht="27.75" customHeight="1">
      <c r="A118" s="844" t="s">
        <v>863</v>
      </c>
      <c r="B118" s="1587" t="str">
        <f>'مدخلات العقود'!$B$14</f>
        <v>48 شهر</v>
      </c>
      <c r="C118" s="1587"/>
      <c r="D118" s="1587"/>
    </row>
    <row r="119" spans="1:4" ht="27.75" customHeight="1">
      <c r="A119" s="844" t="s">
        <v>864</v>
      </c>
      <c r="B119" s="1587" t="str">
        <f>'مدخلات العقود'!$B$16</f>
        <v>9,600 دولار</v>
      </c>
      <c r="C119" s="1587"/>
      <c r="D119" s="1587"/>
    </row>
    <row r="120" spans="1:4" ht="27.75" customHeight="1">
      <c r="A120" s="844" t="s">
        <v>865</v>
      </c>
      <c r="B120" s="1587" t="str">
        <f>'مدخلات العقود'!$B$17</f>
        <v>-7,343 دولار</v>
      </c>
      <c r="C120" s="1587"/>
      <c r="D120" s="1587"/>
    </row>
    <row r="121" spans="1:4" ht="27.75" customHeight="1">
      <c r="A121" s="844" t="s">
        <v>1190</v>
      </c>
      <c r="B121" s="1587" t="str">
        <f>'مدخلات العقود'!D14&amp;" من عقد التأجير رقم: "&amp;'مدخلات العقود'!$J$14</f>
        <v xml:space="preserve">حسب جدول الدفعات (ملحق رقم 1) من عقد التأجير رقم: </v>
      </c>
      <c r="C121" s="1587"/>
      <c r="D121" s="1587"/>
    </row>
    <row r="122" spans="1:4" ht="27.75" customHeight="1">
      <c r="A122" s="845" t="s">
        <v>983</v>
      </c>
      <c r="B122" s="1583" t="str">
        <f>'مدخلات العقود'!D16</f>
        <v>/5/2021</v>
      </c>
      <c r="C122" s="1587"/>
      <c r="D122" s="1587"/>
    </row>
    <row r="123" spans="1:4" ht="27.75" customHeight="1">
      <c r="A123" s="845" t="s">
        <v>598</v>
      </c>
      <c r="B123" s="1583" t="str">
        <f>'مدخلات العقود'!D17</f>
        <v>0/4/2025</v>
      </c>
      <c r="C123" s="1587"/>
      <c r="D123" s="1587"/>
    </row>
    <row r="124" spans="1:4" ht="27.75" customHeight="1">
      <c r="A124" s="844" t="s">
        <v>866</v>
      </c>
      <c r="B124" s="1587" t="s">
        <v>117</v>
      </c>
      <c r="C124" s="1587"/>
      <c r="D124" s="1587"/>
    </row>
    <row r="125" spans="1:4" ht="30">
      <c r="A125" s="846" t="s">
        <v>867</v>
      </c>
      <c r="B125" s="1587" t="s">
        <v>117</v>
      </c>
      <c r="C125" s="1587"/>
      <c r="D125" s="1587"/>
    </row>
    <row r="126" spans="1:4" ht="27.75">
      <c r="A126" s="1571" t="s">
        <v>868</v>
      </c>
      <c r="B126" s="1570"/>
      <c r="C126" s="1570"/>
      <c r="D126" s="1570"/>
    </row>
    <row r="127" spans="1:4" ht="27.75">
      <c r="A127" s="1568" t="s">
        <v>869</v>
      </c>
      <c r="B127" s="1570"/>
      <c r="C127" s="1570"/>
      <c r="D127" s="1570"/>
    </row>
    <row r="128" spans="1:4" ht="27.75">
      <c r="A128" s="1571" t="s">
        <v>870</v>
      </c>
      <c r="B128" s="1571"/>
      <c r="C128" s="1571"/>
      <c r="D128" s="1571"/>
    </row>
    <row r="129" spans="1:4" ht="27.75">
      <c r="A129" s="1571" t="s">
        <v>871</v>
      </c>
      <c r="B129" s="1570"/>
      <c r="C129" s="1570"/>
      <c r="D129" s="1570"/>
    </row>
    <row r="130" spans="1:4" ht="27.75">
      <c r="A130" s="1568" t="s">
        <v>872</v>
      </c>
      <c r="B130" s="1570"/>
      <c r="C130" s="1570"/>
      <c r="D130" s="1570"/>
    </row>
    <row r="131" spans="1:4" ht="27.75">
      <c r="A131" s="1571" t="s">
        <v>873</v>
      </c>
      <c r="B131" s="1571"/>
      <c r="C131" s="1571"/>
      <c r="D131" s="1571"/>
    </row>
    <row r="132" spans="1:4" ht="27.75">
      <c r="A132" s="1568" t="s">
        <v>874</v>
      </c>
      <c r="B132" s="1570"/>
      <c r="C132" s="1570"/>
      <c r="D132" s="1570"/>
    </row>
    <row r="133" spans="1:4" ht="27.75">
      <c r="A133" s="1571" t="s">
        <v>875</v>
      </c>
      <c r="B133" s="1571"/>
      <c r="C133" s="1571"/>
      <c r="D133" s="1571"/>
    </row>
    <row r="134" spans="1:4" ht="27.75">
      <c r="A134" s="1568" t="s">
        <v>876</v>
      </c>
      <c r="B134" s="1570"/>
      <c r="C134" s="1570"/>
      <c r="D134" s="1570"/>
    </row>
    <row r="135" spans="1:4" ht="27.75">
      <c r="A135" s="1571" t="s">
        <v>877</v>
      </c>
      <c r="B135" s="1570"/>
      <c r="C135" s="1570"/>
      <c r="D135" s="1570"/>
    </row>
    <row r="136" spans="1:4" ht="27.75">
      <c r="A136" s="1568" t="s">
        <v>878</v>
      </c>
      <c r="B136" s="1570"/>
      <c r="C136" s="1570"/>
      <c r="D136" s="1570"/>
    </row>
    <row r="137" spans="1:4" ht="27.75">
      <c r="A137" s="1571" t="s">
        <v>879</v>
      </c>
      <c r="B137" s="1570"/>
      <c r="C137" s="1570"/>
      <c r="D137" s="1570"/>
    </row>
    <row r="138" spans="1:4" ht="27.75">
      <c r="A138" s="1568" t="s">
        <v>880</v>
      </c>
      <c r="B138" s="1570"/>
      <c r="C138" s="1570"/>
      <c r="D138" s="1570"/>
    </row>
    <row r="139" spans="1:4" ht="27.75">
      <c r="A139" s="1571" t="s">
        <v>881</v>
      </c>
      <c r="B139" s="1570"/>
      <c r="C139" s="1570"/>
      <c r="D139" s="1570"/>
    </row>
    <row r="140" spans="1:4" ht="20.100000000000001" customHeight="1">
      <c r="A140" s="826"/>
      <c r="B140" s="848"/>
      <c r="C140" s="848"/>
      <c r="D140" s="848"/>
    </row>
    <row r="141" spans="1:4" ht="30">
      <c r="A141" s="1588" t="s">
        <v>1191</v>
      </c>
      <c r="B141" s="1588"/>
      <c r="C141" s="1589" t="s">
        <v>882</v>
      </c>
      <c r="D141" s="1589"/>
    </row>
    <row r="142" spans="1:4" ht="30">
      <c r="A142" s="1590" t="s">
        <v>883</v>
      </c>
      <c r="B142" s="1590"/>
      <c r="C142" s="1590" t="s">
        <v>883</v>
      </c>
      <c r="D142" s="1590"/>
    </row>
    <row r="143" spans="1:4" ht="20.100000000000001" customHeight="1">
      <c r="A143" s="825"/>
      <c r="B143" s="848"/>
      <c r="C143" s="848"/>
      <c r="D143" s="848"/>
    </row>
    <row r="144" spans="1:4" ht="30">
      <c r="A144" s="1582" t="s">
        <v>884</v>
      </c>
      <c r="B144" s="1582"/>
      <c r="C144" s="1582"/>
      <c r="D144" s="1582"/>
    </row>
    <row r="145" spans="1:8" ht="27.75">
      <c r="A145" s="1570" t="s">
        <v>885</v>
      </c>
      <c r="B145" s="1570"/>
      <c r="C145" s="1570"/>
      <c r="D145" s="1570"/>
    </row>
    <row r="146" spans="1:8" ht="27.75">
      <c r="A146" s="1570" t="s">
        <v>886</v>
      </c>
      <c r="B146" s="1570"/>
      <c r="C146" s="1570"/>
      <c r="D146" s="1570"/>
    </row>
    <row r="147" spans="1:8" ht="27.75">
      <c r="A147" s="1570" t="s">
        <v>887</v>
      </c>
      <c r="B147" s="1570"/>
      <c r="C147" s="1570"/>
      <c r="D147" s="1570"/>
    </row>
    <row r="148" spans="1:8" ht="27.75">
      <c r="A148" s="1599" t="s">
        <v>1185</v>
      </c>
      <c r="B148" s="1600"/>
      <c r="C148" s="1600"/>
      <c r="D148" s="1601"/>
    </row>
    <row r="149" spans="1:8" ht="27.75">
      <c r="A149" s="1593" t="s">
        <v>1194</v>
      </c>
      <c r="B149" s="1571"/>
      <c r="C149" s="1602" t="s">
        <v>1192</v>
      </c>
      <c r="D149" s="1603"/>
    </row>
    <row r="150" spans="1:8" ht="27.75">
      <c r="A150" s="1591" t="s">
        <v>1195</v>
      </c>
      <c r="B150" s="1570"/>
      <c r="C150" s="1570"/>
      <c r="D150" s="1592"/>
    </row>
    <row r="151" spans="1:8" ht="27.75">
      <c r="A151" s="1593" t="s">
        <v>1186</v>
      </c>
      <c r="B151" s="1570"/>
      <c r="C151" s="1570"/>
      <c r="D151" s="1592"/>
    </row>
    <row r="152" spans="1:8" ht="27.75">
      <c r="A152" s="1591" t="s">
        <v>1196</v>
      </c>
      <c r="B152" s="1570"/>
      <c r="C152" s="1570"/>
      <c r="D152" s="1592"/>
    </row>
    <row r="153" spans="1:8" ht="27.75">
      <c r="A153" s="1591" t="s">
        <v>1197</v>
      </c>
      <c r="B153" s="1570"/>
      <c r="C153" s="1594" t="s">
        <v>1193</v>
      </c>
      <c r="D153" s="1595"/>
    </row>
    <row r="154" spans="1:8" ht="27.75">
      <c r="A154" s="1596" t="s">
        <v>1198</v>
      </c>
      <c r="B154" s="1597"/>
      <c r="C154" s="1597"/>
      <c r="D154" s="1598"/>
    </row>
    <row r="155" spans="1:8" ht="35.25" hidden="1">
      <c r="A155" s="1574" t="s">
        <v>888</v>
      </c>
      <c r="B155" s="1574"/>
      <c r="C155" s="1574"/>
      <c r="D155" s="1574"/>
    </row>
    <row r="156" spans="1:8" ht="9.9499999999999993" hidden="1" customHeight="1">
      <c r="A156" s="851"/>
      <c r="B156" s="851"/>
      <c r="C156" s="851"/>
      <c r="D156" s="851"/>
    </row>
    <row r="157" spans="1:8" ht="60" hidden="1" customHeight="1">
      <c r="A157" s="1546" t="str">
        <f>"انا الموقع /الموقعون اسمي ادناه "&amp;'مدخلات العقود'!$B$2&amp;"، حامل هوية رقم: "&amp;'مدخلات العقود'!$D$2&amp;"، والصادرة في: "&amp;'مدخلات العقود'!$F$2&amp;"، بتاريخ: "&amp;TEXT('مدخلات العقود'!$H$2,"dd/mm/yyyy")&amp;"، وعنوانة لغايات التبليغ: "&amp;'مدخلات العقود'!$J$2&amp;"، ورقم هاتفه: "&amp;'مدخلات العقود'!$L$2</f>
        <v>انا الموقع /الموقعون اسمي ادناه 0، حامل هوية رقم: 0، والصادرة في: ، بتاريخ: 00/01/1900، وعنوانة لغايات التبليغ:  -  -  - ، ورقم هاتفه: 0</v>
      </c>
      <c r="B157" s="1546"/>
      <c r="C157" s="1546"/>
      <c r="D157" s="1546"/>
      <c r="E157" s="785"/>
      <c r="F157" s="785"/>
      <c r="G157" s="788"/>
      <c r="H157" s="785"/>
    </row>
    <row r="158" spans="1:8" ht="60" hidden="1" customHeight="1">
      <c r="A158" s="1546" t="s">
        <v>889</v>
      </c>
      <c r="B158" s="1546"/>
      <c r="C158" s="1546"/>
      <c r="D158" s="1546"/>
      <c r="E158" s="785"/>
    </row>
    <row r="159" spans="1:8" ht="60" hidden="1" customHeight="1">
      <c r="A159" s="850" t="str">
        <f>'مدخلات العقود'!E12</f>
        <v>وصف العين المراد استئجارها</v>
      </c>
      <c r="B159" s="1605" t="str">
        <f>'مدخلات العقود'!$F$12</f>
        <v/>
      </c>
      <c r="C159" s="1605"/>
      <c r="D159" s="1605"/>
    </row>
    <row r="160" spans="1:8" ht="60" hidden="1" customHeight="1">
      <c r="A160" s="850" t="str">
        <f>'مدخلات العقود'!I12</f>
        <v>رقم الشاصي</v>
      </c>
      <c r="B160" s="1605" t="str">
        <f>'مدخلات العقود'!$J$12</f>
        <v/>
      </c>
      <c r="C160" s="1605"/>
      <c r="D160" s="1605"/>
    </row>
    <row r="161" spans="1:4" ht="60" hidden="1" customHeight="1">
      <c r="A161" s="850" t="str">
        <f>'مدخلات العقود'!G12</f>
        <v>تاريخ الإنتاج</v>
      </c>
      <c r="B161" s="1605">
        <f>'مدخلات العقود'!$H$12</f>
        <v>2015</v>
      </c>
      <c r="C161" s="1605"/>
      <c r="D161" s="1605"/>
    </row>
    <row r="162" spans="1:4" ht="60" hidden="1" customHeight="1">
      <c r="A162" s="850" t="str">
        <f>'مدخلات العقود'!K12</f>
        <v>اية تفاصيل اخرى</v>
      </c>
      <c r="B162" s="1605" t="str">
        <f>'مدخلات العقود'!$L$12</f>
        <v/>
      </c>
      <c r="C162" s="1605"/>
      <c r="D162" s="1605"/>
    </row>
    <row r="163" spans="1:4" ht="9.9499999999999993" hidden="1" customHeight="1"/>
    <row r="164" spans="1:4" ht="150" hidden="1" customHeight="1">
      <c r="A164" s="1604" t="str">
        <f>"كنت قد استأجرت بموجب عقد وعد بالاستئجار مقترن بوعد الشراء وعقد تاجير اجارة منتهية بالتمليك رقم "&amp;'مدخلات العقود'!$J$14&amp;" ومسجل في هيئة سوق رأس المال تحت رقم "&amp;'مدخلات العقود'!$J$15&amp;" وملاحقاته والموقعه بتاريخ         /          /             فيما بيني وبين الشركة المذكورة "&amp;"وحيث انني وبتاريخ  ____/ _____ / _____  قد تعثرت في السداد لصالح شركة الإجارة وفقا لتقرير التعثر المرفق وخالفت شروط التعاقد وفقا لشروط واحكام العقود المذكورة اعلاه المرفقة "&amp;"مع هذه الاتفاقية باعتبارها جزء لا يتجزأ من هذه المخالصة فانني اقر واتعهد والتزم وانا بكامل الصفات المعتبرة شرعا وقانونا بما يلي: "</f>
        <v xml:space="preserve">كنت قد استأجرت بموجب عقد وعد بالاستئجار مقترن بوعد الشراء وعقد تاجير اجارة منتهية بالتمليك رقم  ومسجل في هيئة سوق رأس المال تحت رقم  وملاحقاته والموقعه بتاريخ         /          /             فيما بيني وبين الشركة المذكورة وحيث انني وبتاريخ  ____/ _____ / _____  قد تعثرت في السداد لصالح شركة الإجارة وفقا لتقرير التعثر المرفق وخالفت شروط التعاقد وفقا لشروط واحكام العقود المذكورة اعلاه المرفقة مع هذه الاتفاقية باعتبارها جزء لا يتجزأ من هذه المخالصة فانني اقر واتعهد والتزم وانا بكامل الصفات المعتبرة شرعا وقانونا بما يلي: </v>
      </c>
      <c r="B164" s="1604"/>
      <c r="C164" s="1604"/>
      <c r="D164" s="1604"/>
    </row>
    <row r="165" spans="1:4" ht="60" hidden="1" customHeight="1">
      <c r="A165" s="1546" t="s">
        <v>890</v>
      </c>
      <c r="B165" s="1546"/>
      <c r="C165" s="1546"/>
      <c r="D165" s="1546"/>
    </row>
    <row r="166" spans="1:4" ht="60" hidden="1" customHeight="1">
      <c r="A166" s="1546" t="s">
        <v>891</v>
      </c>
      <c r="B166" s="1546"/>
      <c r="C166" s="1546"/>
      <c r="D166" s="1546"/>
    </row>
    <row r="167" spans="1:4" ht="60" hidden="1" customHeight="1">
      <c r="A167" s="1546" t="s">
        <v>892</v>
      </c>
      <c r="B167" s="1546"/>
      <c r="C167" s="1546"/>
      <c r="D167" s="1546"/>
    </row>
    <row r="168" spans="1:4" ht="30" hidden="1" customHeight="1">
      <c r="A168" s="1546" t="s">
        <v>893</v>
      </c>
      <c r="B168" s="1546"/>
      <c r="C168" s="1546"/>
      <c r="D168" s="1546"/>
    </row>
    <row r="169" spans="1:4" ht="30" hidden="1" customHeight="1">
      <c r="A169" s="1546" t="s">
        <v>894</v>
      </c>
      <c r="B169" s="1546"/>
      <c r="C169" s="1546"/>
      <c r="D169" s="1546"/>
    </row>
    <row r="170" spans="1:4" ht="60" hidden="1" customHeight="1">
      <c r="A170" s="1546" t="s">
        <v>895</v>
      </c>
      <c r="B170" s="1546"/>
      <c r="C170" s="1546"/>
      <c r="D170" s="1546"/>
    </row>
    <row r="171" spans="1:4" ht="60" hidden="1" customHeight="1">
      <c r="A171" s="1546" t="s">
        <v>1199</v>
      </c>
      <c r="B171" s="1546"/>
      <c r="C171" s="1546"/>
      <c r="D171" s="1546"/>
    </row>
    <row r="172" spans="1:4" ht="30" hidden="1">
      <c r="A172" s="825"/>
      <c r="B172" s="825"/>
      <c r="C172" s="825"/>
      <c r="D172" s="825"/>
    </row>
    <row r="173" spans="1:4" ht="30" hidden="1">
      <c r="A173" s="825"/>
      <c r="B173" s="825"/>
      <c r="C173" s="825"/>
      <c r="D173" s="825"/>
    </row>
    <row r="174" spans="1:4" ht="30" hidden="1">
      <c r="A174" s="1584" t="s">
        <v>896</v>
      </c>
      <c r="B174" s="1584"/>
      <c r="C174" s="1584"/>
      <c r="D174" s="1584"/>
    </row>
    <row r="175" spans="1:4" hidden="1">
      <c r="A175" s="791"/>
    </row>
    <row r="176" spans="1:4" ht="35.25">
      <c r="A176" s="1574" t="s">
        <v>897</v>
      </c>
      <c r="B176" s="1574"/>
      <c r="C176" s="1574"/>
      <c r="D176" s="1574"/>
    </row>
    <row r="177" spans="1:4" ht="15" customHeight="1">
      <c r="A177" s="851"/>
      <c r="B177" s="851"/>
      <c r="C177" s="851"/>
      <c r="D177" s="851"/>
    </row>
    <row r="178" spans="1:4" ht="30">
      <c r="A178" s="1546" t="str">
        <f>"أنا الموقع اسمي أدناه "&amp;'مدخلات العقود'!$B$2&amp;"، حامل هوية رقم: "&amp;'مدخلات العقود'!$D$2</f>
        <v>أنا الموقع اسمي أدناه 0، حامل هوية رقم: 0</v>
      </c>
      <c r="B178" s="1546"/>
      <c r="C178" s="1546"/>
      <c r="D178" s="1546"/>
    </row>
    <row r="179" spans="1:4" ht="90" customHeight="1">
      <c r="A179" s="1546" t="s">
        <v>1544</v>
      </c>
      <c r="B179" s="1546"/>
      <c r="C179" s="1546"/>
      <c r="D179" s="1546"/>
    </row>
    <row r="180" spans="1:4" ht="90" customHeight="1">
      <c r="A180" s="1611" t="s">
        <v>1200</v>
      </c>
      <c r="B180" s="1611"/>
      <c r="C180" s="1611"/>
      <c r="D180" s="1611"/>
    </row>
    <row r="181" spans="1:4" ht="60" customHeight="1">
      <c r="A181" s="1611" t="s">
        <v>898</v>
      </c>
      <c r="B181" s="1611"/>
      <c r="C181" s="1611"/>
      <c r="D181" s="1611"/>
    </row>
    <row r="182" spans="1:4" ht="24.75">
      <c r="A182" s="1611" t="s">
        <v>899</v>
      </c>
      <c r="B182" s="1611"/>
      <c r="C182" s="1611"/>
      <c r="D182" s="1611"/>
    </row>
    <row r="183" spans="1:4" ht="60" customHeight="1">
      <c r="A183" s="1611" t="s">
        <v>900</v>
      </c>
      <c r="B183" s="1611"/>
      <c r="C183" s="1611"/>
      <c r="D183" s="1611"/>
    </row>
    <row r="184" spans="1:4" ht="60" customHeight="1">
      <c r="A184" s="1611" t="s">
        <v>901</v>
      </c>
      <c r="B184" s="1611"/>
      <c r="C184" s="1611"/>
      <c r="D184" s="1611"/>
    </row>
    <row r="185" spans="1:4" ht="24.75">
      <c r="A185" s="854"/>
      <c r="B185" s="854"/>
      <c r="C185" s="854"/>
      <c r="D185" s="854"/>
    </row>
    <row r="186" spans="1:4" ht="24.75">
      <c r="A186" s="1611" t="s">
        <v>1201</v>
      </c>
      <c r="B186" s="1611"/>
      <c r="C186" s="1611"/>
      <c r="D186" s="1611"/>
    </row>
    <row r="187" spans="1:4" ht="24.75">
      <c r="A187" s="854"/>
      <c r="B187" s="854"/>
      <c r="C187" s="854"/>
      <c r="D187" s="854"/>
    </row>
    <row r="188" spans="1:4" ht="24.75">
      <c r="A188" s="1611" t="str">
        <f>"المقر بما جاء فيه "&amp;'مدخلات العقود'!$B$2&amp;"، حامل هوية رقم: "&amp;'مدخلات العقود'!$D$2</f>
        <v>المقر بما جاء فيه 0، حامل هوية رقم: 0</v>
      </c>
      <c r="B188" s="1611"/>
      <c r="C188" s="1611"/>
      <c r="D188" s="1611"/>
    </row>
    <row r="189" spans="1:4" ht="24.75">
      <c r="A189" s="854"/>
      <c r="B189" s="854"/>
      <c r="C189" s="854"/>
      <c r="D189" s="854"/>
    </row>
    <row r="190" spans="1:4" ht="24.75">
      <c r="A190" s="1611" t="s">
        <v>1202</v>
      </c>
      <c r="B190" s="1611"/>
      <c r="C190" s="1611"/>
      <c r="D190" s="1611"/>
    </row>
    <row r="191" spans="1:4" ht="24.75">
      <c r="A191" s="852"/>
      <c r="B191" s="853"/>
      <c r="C191" s="853"/>
      <c r="D191" s="853"/>
    </row>
    <row r="192" spans="1:4" ht="38.25">
      <c r="A192" s="1609" t="s">
        <v>902</v>
      </c>
      <c r="B192" s="1609"/>
      <c r="C192" s="1609"/>
      <c r="D192" s="1609"/>
    </row>
    <row r="193" spans="1:7" ht="35.25">
      <c r="A193" s="1606" t="s">
        <v>903</v>
      </c>
      <c r="B193" s="1606"/>
      <c r="C193" s="1606"/>
      <c r="D193" s="1606"/>
    </row>
    <row r="194" spans="1:7" ht="35.25">
      <c r="A194" s="1610" t="s">
        <v>904</v>
      </c>
      <c r="B194" s="1610"/>
      <c r="C194" s="1610"/>
      <c r="D194" s="1610"/>
    </row>
    <row r="195" spans="1:7" ht="35.25">
      <c r="A195" s="988" t="s">
        <v>905</v>
      </c>
      <c r="B195" s="988" t="s">
        <v>632</v>
      </c>
      <c r="C195" s="988" t="s">
        <v>906</v>
      </c>
      <c r="D195" s="988" t="s">
        <v>1203</v>
      </c>
      <c r="E195" s="790"/>
    </row>
    <row r="196" spans="1:7" ht="34.5">
      <c r="A196" s="856" t="s">
        <v>1560</v>
      </c>
      <c r="B196" s="985">
        <f>'مدخلات العقود'!$J$15</f>
        <v>0</v>
      </c>
      <c r="C196" s="857" t="str">
        <f>'مدخلات العقود'!$B$14</f>
        <v>48 شهر</v>
      </c>
      <c r="D196" s="856" t="s">
        <v>907</v>
      </c>
      <c r="E196" s="792"/>
    </row>
    <row r="197" spans="1:7" ht="23.25">
      <c r="A197" s="991"/>
      <c r="B197" s="991"/>
      <c r="C197" s="991"/>
      <c r="D197" s="991"/>
      <c r="E197" s="792"/>
    </row>
    <row r="198" spans="1:7" ht="35.25">
      <c r="A198" s="1610" t="s">
        <v>908</v>
      </c>
      <c r="B198" s="1610"/>
      <c r="C198" s="1610"/>
      <c r="D198" s="1610"/>
      <c r="E198" s="781"/>
      <c r="F198" s="775"/>
    </row>
    <row r="199" spans="1:7" ht="35.25">
      <c r="A199" s="1618" t="s">
        <v>909</v>
      </c>
      <c r="B199" s="988" t="s">
        <v>910</v>
      </c>
      <c r="C199" s="988" t="s">
        <v>911</v>
      </c>
      <c r="D199" s="988" t="s">
        <v>912</v>
      </c>
      <c r="F199" s="790"/>
    </row>
    <row r="200" spans="1:7" ht="69.95" customHeight="1">
      <c r="A200" s="1618"/>
      <c r="B200" s="856" t="s">
        <v>913</v>
      </c>
      <c r="C200" s="858">
        <v>562528679</v>
      </c>
      <c r="D200" s="844" t="s">
        <v>914</v>
      </c>
      <c r="F200" s="793"/>
    </row>
    <row r="201" spans="1:7" ht="35.25">
      <c r="A201" s="1618" t="s">
        <v>915</v>
      </c>
      <c r="B201" s="988" t="s">
        <v>910</v>
      </c>
      <c r="C201" s="988" t="s">
        <v>911</v>
      </c>
      <c r="D201" s="988" t="s">
        <v>912</v>
      </c>
      <c r="F201" s="790"/>
    </row>
    <row r="202" spans="1:7" ht="69.95" customHeight="1">
      <c r="A202" s="1618"/>
      <c r="B202" s="857">
        <f>'مدخلات العقود'!$B$2</f>
        <v>0</v>
      </c>
      <c r="C202" s="859">
        <f>'مدخلات العقود'!$D$2</f>
        <v>0</v>
      </c>
      <c r="D202" s="977" t="str">
        <f>'مدخلات العقود'!$J$2</f>
        <v xml:space="preserve"> -  -  - </v>
      </c>
      <c r="F202" s="792"/>
    </row>
    <row r="203" spans="1:7" ht="23.25">
      <c r="A203" s="991"/>
      <c r="B203" s="991"/>
      <c r="C203" s="991"/>
      <c r="D203" s="991"/>
      <c r="E203" s="792"/>
    </row>
    <row r="204" spans="1:7" ht="35.25">
      <c r="A204" s="1610" t="s">
        <v>916</v>
      </c>
      <c r="B204" s="1610"/>
      <c r="C204" s="1610"/>
      <c r="D204" s="1610"/>
      <c r="F204" s="792"/>
    </row>
    <row r="205" spans="1:7" ht="35.25">
      <c r="A205" s="987" t="s">
        <v>918</v>
      </c>
      <c r="B205" s="987" t="s">
        <v>984</v>
      </c>
      <c r="C205" s="987" t="s">
        <v>919</v>
      </c>
      <c r="D205" s="987" t="s">
        <v>958</v>
      </c>
      <c r="G205" s="790"/>
    </row>
    <row r="206" spans="1:7" ht="69.95" customHeight="1">
      <c r="A206" s="992" t="str">
        <f>'مدخلات العقود'!$F$12</f>
        <v/>
      </c>
      <c r="B206" s="992" t="str">
        <f>'مدخلات العقود'!$F$12</f>
        <v/>
      </c>
      <c r="C206" s="993">
        <f>'مدخلات العقود'!$H$12</f>
        <v>2015</v>
      </c>
      <c r="D206" s="994" t="str">
        <f>'مدخلات العقود'!$L$12</f>
        <v/>
      </c>
      <c r="G206" s="793"/>
    </row>
    <row r="207" spans="1:7" ht="35.25">
      <c r="A207" s="860" t="s">
        <v>917</v>
      </c>
      <c r="B207" s="1607" t="str">
        <f>'مدخلات العقود'!$J$12</f>
        <v/>
      </c>
      <c r="C207" s="1607"/>
      <c r="D207" s="1607"/>
      <c r="E207" s="790"/>
      <c r="F207" s="790"/>
      <c r="G207" s="790"/>
    </row>
    <row r="208" spans="1:7" ht="23.25">
      <c r="A208" s="861"/>
      <c r="B208" s="861"/>
      <c r="C208" s="861"/>
      <c r="D208" s="861"/>
      <c r="E208" s="779"/>
      <c r="F208" s="779"/>
      <c r="G208" s="779"/>
    </row>
    <row r="209" spans="1:4" ht="35.25">
      <c r="A209" s="1606" t="s">
        <v>985</v>
      </c>
      <c r="B209" s="1606"/>
      <c r="C209" s="986" t="s">
        <v>920</v>
      </c>
      <c r="D209" s="986" t="s">
        <v>921</v>
      </c>
    </row>
    <row r="210" spans="1:4" ht="35.25">
      <c r="A210" s="986"/>
      <c r="B210" s="991"/>
      <c r="C210" s="991"/>
      <c r="D210" s="991"/>
    </row>
    <row r="211" spans="1:4" ht="35.25">
      <c r="A211" s="1606" t="str">
        <f>"إسم المستأجر: "&amp;'مدخلات العقود'!$B$2</f>
        <v>إسم المستأجر: 0</v>
      </c>
      <c r="B211" s="1606"/>
      <c r="C211" s="986" t="s">
        <v>920</v>
      </c>
      <c r="D211" s="986" t="s">
        <v>921</v>
      </c>
    </row>
    <row r="212" spans="1:4" ht="35.25">
      <c r="A212" s="986"/>
      <c r="B212" s="986"/>
      <c r="C212" s="986"/>
      <c r="D212" s="986"/>
    </row>
    <row r="213" spans="1:4" ht="35.25">
      <c r="A213" s="1608" t="s">
        <v>922</v>
      </c>
      <c r="B213" s="1608"/>
      <c r="C213" s="1608"/>
      <c r="D213" s="1608"/>
    </row>
    <row r="214" spans="1:4" ht="35.25">
      <c r="A214" s="1608" t="s">
        <v>921</v>
      </c>
      <c r="B214" s="1608"/>
      <c r="C214" s="1608"/>
      <c r="D214" s="1608"/>
    </row>
    <row r="215" spans="1:4" ht="23.25">
      <c r="A215" s="861"/>
      <c r="B215" s="991"/>
      <c r="C215" s="991"/>
      <c r="D215" s="991"/>
    </row>
    <row r="216" spans="1:4" ht="38.25">
      <c r="A216" s="1609" t="s">
        <v>923</v>
      </c>
      <c r="B216" s="1609"/>
      <c r="C216" s="1609"/>
      <c r="D216" s="1609"/>
    </row>
    <row r="217" spans="1:4">
      <c r="A217" s="794"/>
    </row>
    <row r="218" spans="1:4" ht="20.100000000000001" customHeight="1">
      <c r="A218" s="1541" t="s">
        <v>920</v>
      </c>
      <c r="B218" s="1541"/>
      <c r="C218" s="1541"/>
      <c r="D218" s="1541"/>
    </row>
    <row r="219" spans="1:4" ht="30">
      <c r="A219" s="1237" t="s">
        <v>385</v>
      </c>
      <c r="B219" s="1237" t="s">
        <v>635</v>
      </c>
      <c r="C219" s="1237" t="s">
        <v>1572</v>
      </c>
      <c r="D219" s="1237" t="s">
        <v>637</v>
      </c>
    </row>
    <row r="220" spans="1:4" ht="20.100000000000001" customHeight="1">
      <c r="A220" s="1237">
        <f>'مدخلات العقود'!B2</f>
        <v>0</v>
      </c>
      <c r="B220" s="1237" t="str">
        <f>'مدخلات العقود'!B4</f>
        <v>لا يوجد</v>
      </c>
      <c r="C220" s="1237" t="str">
        <f>'مدخلات العقود'!B5</f>
        <v>لا يوجد</v>
      </c>
      <c r="D220" s="1237" t="str">
        <f>'مدخلات العقود'!B6</f>
        <v>لا يوجد</v>
      </c>
    </row>
    <row r="221" spans="1:4" ht="125.1" customHeight="1">
      <c r="A221" s="855"/>
      <c r="B221" s="845"/>
      <c r="C221" s="845"/>
      <c r="D221" s="845"/>
    </row>
    <row r="222" spans="1:4" ht="125.1" customHeight="1">
      <c r="A222" s="855"/>
      <c r="B222" s="845"/>
      <c r="C222" s="845"/>
      <c r="D222" s="845"/>
    </row>
    <row r="223" spans="1:4" ht="125.1" customHeight="1">
      <c r="A223" s="855"/>
      <c r="B223" s="845"/>
      <c r="C223" s="845"/>
      <c r="D223" s="845"/>
    </row>
    <row r="224" spans="1:4" ht="125.1" customHeight="1">
      <c r="A224" s="855"/>
      <c r="B224" s="845"/>
      <c r="C224" s="845"/>
      <c r="D224" s="845"/>
    </row>
    <row r="225" spans="1:4" ht="125.1" customHeight="1">
      <c r="A225" s="855"/>
      <c r="B225" s="845"/>
      <c r="C225" s="845"/>
      <c r="D225" s="845"/>
    </row>
    <row r="226" spans="1:4" ht="20.100000000000001" customHeight="1">
      <c r="A226" s="1541" t="s">
        <v>912</v>
      </c>
      <c r="B226" s="1541"/>
      <c r="C226" s="1541"/>
      <c r="D226" s="1541"/>
    </row>
    <row r="227" spans="1:4" ht="125.1" customHeight="1">
      <c r="A227" s="855"/>
      <c r="B227" s="845"/>
      <c r="C227" s="845"/>
      <c r="D227" s="845"/>
    </row>
    <row r="228" spans="1:4" ht="30">
      <c r="A228" s="825"/>
      <c r="B228" s="820"/>
      <c r="C228" s="820"/>
      <c r="D228" s="820"/>
    </row>
    <row r="229" spans="1:4" ht="30">
      <c r="A229" s="1617" t="s">
        <v>1204</v>
      </c>
      <c r="B229" s="1617"/>
      <c r="C229" s="1617"/>
      <c r="D229" s="1617"/>
    </row>
    <row r="230" spans="1:4" ht="30">
      <c r="A230" s="862"/>
      <c r="B230" s="820"/>
      <c r="C230" s="820"/>
      <c r="D230" s="820"/>
    </row>
    <row r="231" spans="1:4" ht="30">
      <c r="A231" s="1617" t="s">
        <v>1207</v>
      </c>
      <c r="B231" s="1617"/>
      <c r="C231" s="1617"/>
      <c r="D231" s="1617"/>
    </row>
    <row r="232" spans="1:4" ht="30">
      <c r="A232" s="862"/>
      <c r="B232" s="820"/>
      <c r="C232" s="820"/>
      <c r="D232" s="820"/>
    </row>
    <row r="233" spans="1:4" ht="30">
      <c r="A233" s="1617" t="s">
        <v>1208</v>
      </c>
      <c r="B233" s="1617"/>
      <c r="C233" s="1617"/>
      <c r="D233" s="1617"/>
    </row>
    <row r="234" spans="1:4" ht="30">
      <c r="A234" s="862"/>
      <c r="B234" s="820"/>
      <c r="C234" s="820"/>
      <c r="D234" s="820"/>
    </row>
    <row r="235" spans="1:4" ht="30">
      <c r="A235" s="1617" t="s">
        <v>1209</v>
      </c>
      <c r="B235" s="1617"/>
      <c r="C235" s="1617"/>
      <c r="D235" s="1617"/>
    </row>
    <row r="236" spans="1:4" ht="30">
      <c r="A236" s="862"/>
      <c r="B236" s="820"/>
      <c r="C236" s="820"/>
      <c r="D236" s="820"/>
    </row>
    <row r="237" spans="1:4" ht="30">
      <c r="A237" s="862"/>
      <c r="B237" s="820"/>
      <c r="C237" s="820"/>
      <c r="D237" s="820"/>
    </row>
    <row r="238" spans="1:4" ht="30">
      <c r="A238" s="826" t="s">
        <v>581</v>
      </c>
      <c r="B238" s="820"/>
      <c r="C238" s="820"/>
      <c r="D238" s="820"/>
    </row>
    <row r="239" spans="1:4" ht="30">
      <c r="A239" s="826" t="s">
        <v>582</v>
      </c>
      <c r="B239" s="820"/>
      <c r="C239" s="820"/>
      <c r="D239" s="820"/>
    </row>
    <row r="240" spans="1:4" ht="30">
      <c r="A240" s="862"/>
      <c r="B240" s="820"/>
      <c r="C240" s="820"/>
      <c r="D240" s="820"/>
    </row>
    <row r="241" spans="1:4" ht="35.25">
      <c r="A241" s="1574" t="s">
        <v>925</v>
      </c>
      <c r="B241" s="1574"/>
      <c r="C241" s="1574"/>
      <c r="D241" s="1574"/>
    </row>
    <row r="242" spans="1:4" ht="35.25">
      <c r="A242" s="1574" t="s">
        <v>926</v>
      </c>
      <c r="B242" s="1574"/>
      <c r="C242" s="1574"/>
      <c r="D242" s="1574"/>
    </row>
    <row r="243" spans="1:4" ht="35.25">
      <c r="A243" s="864"/>
      <c r="B243" s="865"/>
      <c r="C243" s="865"/>
      <c r="D243" s="865"/>
    </row>
    <row r="244" spans="1:4" ht="34.5">
      <c r="A244" s="1614" t="str">
        <f>"الاسم (فرد)/ اسم الشركة (شركة): "&amp;'مدخلات العقود'!$B$2</f>
        <v>الاسم (فرد)/ اسم الشركة (شركة): 0</v>
      </c>
      <c r="B244" s="1614"/>
      <c r="C244" s="1614"/>
      <c r="D244" s="1614"/>
    </row>
    <row r="245" spans="1:4" ht="34.5">
      <c r="A245" s="866"/>
      <c r="B245" s="865"/>
      <c r="C245" s="865"/>
      <c r="D245" s="865"/>
    </row>
    <row r="246" spans="1:4" ht="34.5">
      <c r="A246" s="1614" t="str">
        <f>"رقم تسجيل (شركة) / رقم هوية (فرد): "&amp;'مدخلات العقود'!$D$2</f>
        <v>رقم تسجيل (شركة) / رقم هوية (فرد): 0</v>
      </c>
      <c r="B246" s="1614"/>
      <c r="C246" s="1614"/>
      <c r="D246" s="1614"/>
    </row>
    <row r="247" spans="1:4" ht="34.5">
      <c r="A247" s="866"/>
      <c r="B247" s="865"/>
      <c r="C247" s="865"/>
      <c r="D247" s="865"/>
    </row>
    <row r="248" spans="1:4" ht="34.5">
      <c r="A248" s="1614" t="str">
        <f>"رقم الهاتف : "&amp;'مدخلات العقود'!$L$2</f>
        <v>رقم الهاتف : 0</v>
      </c>
      <c r="B248" s="1614"/>
      <c r="C248" s="1614"/>
      <c r="D248" s="1614"/>
    </row>
    <row r="249" spans="1:4" ht="34.5">
      <c r="A249" s="1614" t="str">
        <f>"العنوان : "&amp;'مدخلات العقود'!$J$2</f>
        <v xml:space="preserve">العنوان :  -  -  - </v>
      </c>
      <c r="B249" s="1614"/>
      <c r="C249" s="1614"/>
      <c r="D249" s="1614"/>
    </row>
    <row r="250" spans="1:4" ht="34.5">
      <c r="A250" s="866"/>
      <c r="B250" s="865"/>
      <c r="C250" s="865"/>
      <c r="D250" s="865"/>
    </row>
    <row r="251" spans="1:4" ht="34.5">
      <c r="A251" s="1614" t="s">
        <v>986</v>
      </c>
      <c r="B251" s="1614"/>
      <c r="C251" s="1614" t="s">
        <v>987</v>
      </c>
      <c r="D251" s="1614"/>
    </row>
    <row r="252" spans="1:4" ht="34.5">
      <c r="A252" s="1614" t="s">
        <v>988</v>
      </c>
      <c r="B252" s="1614"/>
      <c r="C252" s="1614"/>
      <c r="D252" s="1614"/>
    </row>
    <row r="253" spans="1:4" ht="34.5">
      <c r="A253" s="1614" t="s">
        <v>989</v>
      </c>
      <c r="B253" s="1614"/>
      <c r="C253" s="1614" t="s">
        <v>990</v>
      </c>
      <c r="D253" s="1614"/>
    </row>
    <row r="254" spans="1:4" ht="34.5">
      <c r="A254" s="1614" t="s">
        <v>927</v>
      </c>
      <c r="B254" s="1614"/>
      <c r="C254" s="1614"/>
      <c r="D254" s="1614"/>
    </row>
    <row r="255" spans="1:4" ht="34.5">
      <c r="A255" s="1614" t="s">
        <v>928</v>
      </c>
      <c r="B255" s="1614"/>
      <c r="C255" s="1614"/>
      <c r="D255" s="1614"/>
    </row>
    <row r="256" spans="1:4" ht="34.5">
      <c r="A256" s="866"/>
      <c r="B256" s="865"/>
      <c r="C256" s="865"/>
      <c r="D256" s="865"/>
    </row>
    <row r="257" spans="1:4" ht="34.5">
      <c r="A257" s="1614" t="s">
        <v>929</v>
      </c>
      <c r="B257" s="1614"/>
      <c r="C257" s="1614"/>
      <c r="D257" s="1614"/>
    </row>
    <row r="258" spans="1:4" ht="34.5">
      <c r="A258" s="866"/>
      <c r="B258" s="865"/>
      <c r="C258" s="865"/>
      <c r="D258" s="865"/>
    </row>
    <row r="259" spans="1:4" ht="34.5">
      <c r="A259" s="1614" t="s">
        <v>1205</v>
      </c>
      <c r="B259" s="1614"/>
      <c r="C259" s="1614"/>
      <c r="D259" s="1614"/>
    </row>
    <row r="260" spans="1:4" ht="34.5">
      <c r="A260" s="1614" t="s">
        <v>1206</v>
      </c>
      <c r="B260" s="1614"/>
      <c r="C260" s="1614"/>
      <c r="D260" s="1614"/>
    </row>
    <row r="261" spans="1:4" ht="34.5">
      <c r="A261" s="1614" t="s">
        <v>930</v>
      </c>
      <c r="B261" s="1614"/>
      <c r="C261" s="1614"/>
      <c r="D261" s="1614"/>
    </row>
    <row r="262" spans="1:4" ht="34.5">
      <c r="A262" s="866"/>
      <c r="B262" s="865"/>
      <c r="C262" s="865"/>
      <c r="D262" s="865"/>
    </row>
    <row r="263" spans="1:4" ht="34.5">
      <c r="A263" s="866"/>
      <c r="B263" s="865"/>
      <c r="C263" s="865"/>
      <c r="D263" s="865"/>
    </row>
    <row r="264" spans="1:4" ht="34.5">
      <c r="A264" s="1614" t="s">
        <v>931</v>
      </c>
      <c r="B264" s="1614"/>
      <c r="C264" s="1614" t="s">
        <v>932</v>
      </c>
      <c r="D264" s="1614"/>
    </row>
    <row r="265" spans="1:4" ht="34.5">
      <c r="A265" s="866"/>
      <c r="B265" s="865"/>
      <c r="C265" s="865"/>
      <c r="D265" s="865"/>
    </row>
    <row r="266" spans="1:4" ht="38.25">
      <c r="A266" s="1615" t="s">
        <v>933</v>
      </c>
      <c r="B266" s="1615"/>
      <c r="C266" s="1615"/>
      <c r="D266" s="1615"/>
    </row>
    <row r="267" spans="1:4" ht="30">
      <c r="A267" s="825"/>
      <c r="B267" s="820"/>
      <c r="C267" s="820"/>
      <c r="D267" s="820"/>
    </row>
    <row r="268" spans="1:4" ht="150" customHeight="1">
      <c r="A268" s="1612" t="s">
        <v>1642</v>
      </c>
      <c r="B268" s="1612"/>
      <c r="C268" s="1612"/>
      <c r="D268" s="1612"/>
    </row>
    <row r="269" spans="1:4" ht="34.5">
      <c r="A269" s="1613" t="s">
        <v>1210</v>
      </c>
      <c r="B269" s="1613"/>
      <c r="C269" s="1613"/>
      <c r="D269" s="1613"/>
    </row>
    <row r="270" spans="1:4" ht="34.5">
      <c r="A270" s="1613" t="s">
        <v>1211</v>
      </c>
      <c r="B270" s="1613"/>
      <c r="C270" s="1613"/>
      <c r="D270" s="1613"/>
    </row>
    <row r="271" spans="1:4" ht="34.5">
      <c r="A271" s="866"/>
      <c r="B271" s="865"/>
      <c r="C271" s="865"/>
      <c r="D271" s="865"/>
    </row>
    <row r="272" spans="1:4" s="863" customFormat="1" ht="120" customHeight="1">
      <c r="A272" s="1612" t="s">
        <v>1641</v>
      </c>
      <c r="B272" s="1612"/>
      <c r="C272" s="1612"/>
      <c r="D272" s="1612"/>
    </row>
    <row r="273" spans="1:4" ht="34.5">
      <c r="A273" s="866"/>
      <c r="B273" s="865"/>
      <c r="C273" s="865"/>
      <c r="D273" s="865"/>
    </row>
    <row r="274" spans="1:4" ht="69">
      <c r="A274" s="867" t="s">
        <v>1212</v>
      </c>
      <c r="B274" s="1616" t="s">
        <v>934</v>
      </c>
      <c r="C274" s="1616"/>
      <c r="D274" s="867" t="s">
        <v>935</v>
      </c>
    </row>
    <row r="275" spans="1:4" ht="69">
      <c r="A275" s="867" t="s">
        <v>1212</v>
      </c>
      <c r="B275" s="1616" t="s">
        <v>934</v>
      </c>
      <c r="C275" s="1616"/>
      <c r="D275" s="867" t="s">
        <v>935</v>
      </c>
    </row>
    <row r="276" spans="1:4" ht="69">
      <c r="A276" s="867" t="s">
        <v>1212</v>
      </c>
      <c r="B276" s="1616" t="s">
        <v>934</v>
      </c>
      <c r="C276" s="1616"/>
      <c r="D276" s="867" t="s">
        <v>935</v>
      </c>
    </row>
    <row r="277" spans="1:4" ht="69">
      <c r="A277" s="867" t="s">
        <v>1212</v>
      </c>
      <c r="B277" s="1616" t="s">
        <v>934</v>
      </c>
      <c r="C277" s="1616"/>
      <c r="D277" s="867" t="s">
        <v>935</v>
      </c>
    </row>
    <row r="278" spans="1:4" ht="69">
      <c r="A278" s="867" t="s">
        <v>1212</v>
      </c>
      <c r="B278" s="1616" t="s">
        <v>934</v>
      </c>
      <c r="C278" s="1616"/>
      <c r="D278" s="867" t="s">
        <v>935</v>
      </c>
    </row>
    <row r="279" spans="1:4" ht="34.5">
      <c r="A279" s="866"/>
      <c r="B279" s="865"/>
      <c r="C279" s="865"/>
      <c r="D279" s="865"/>
    </row>
    <row r="280" spans="1:4" ht="34.5">
      <c r="A280" s="866"/>
      <c r="B280" s="865"/>
      <c r="C280" s="865"/>
      <c r="D280" s="865"/>
    </row>
    <row r="281" spans="1:4" ht="34.5">
      <c r="A281" s="866"/>
      <c r="B281" s="865"/>
      <c r="C281" s="865"/>
      <c r="D281" s="865"/>
    </row>
    <row r="282" spans="1:4" ht="34.5">
      <c r="A282" s="1612" t="s">
        <v>937</v>
      </c>
      <c r="B282" s="1612"/>
      <c r="C282" s="1612" t="s">
        <v>936</v>
      </c>
      <c r="D282" s="1612"/>
    </row>
  </sheetData>
  <mergeCells count="208">
    <mergeCell ref="A50:D50"/>
    <mergeCell ref="A51:D51"/>
    <mergeCell ref="A53:B53"/>
    <mergeCell ref="A248:D248"/>
    <mergeCell ref="A41:D41"/>
    <mergeCell ref="A42:D42"/>
    <mergeCell ref="A43:D43"/>
    <mergeCell ref="A44:D44"/>
    <mergeCell ref="A45:D45"/>
    <mergeCell ref="A46:D46"/>
    <mergeCell ref="A47:D47"/>
    <mergeCell ref="A48:D48"/>
    <mergeCell ref="A49:D49"/>
    <mergeCell ref="A176:D176"/>
    <mergeCell ref="A178:D178"/>
    <mergeCell ref="A179:D179"/>
    <mergeCell ref="A180:D180"/>
    <mergeCell ref="A181:D181"/>
    <mergeCell ref="A182:D182"/>
    <mergeCell ref="A198:D198"/>
    <mergeCell ref="A199:A200"/>
    <mergeCell ref="A201:A202"/>
    <mergeCell ref="A204:D204"/>
    <mergeCell ref="A209:B209"/>
    <mergeCell ref="A32:D32"/>
    <mergeCell ref="A33:D33"/>
    <mergeCell ref="A34:D34"/>
    <mergeCell ref="A35:D35"/>
    <mergeCell ref="A36:D36"/>
    <mergeCell ref="A37:D37"/>
    <mergeCell ref="A38:D38"/>
    <mergeCell ref="A39:D39"/>
    <mergeCell ref="A40:D40"/>
    <mergeCell ref="A255:D255"/>
    <mergeCell ref="A257:D257"/>
    <mergeCell ref="A231:D231"/>
    <mergeCell ref="A233:D233"/>
    <mergeCell ref="A235:D235"/>
    <mergeCell ref="A241:D241"/>
    <mergeCell ref="A242:D242"/>
    <mergeCell ref="A218:D218"/>
    <mergeCell ref="A229:D229"/>
    <mergeCell ref="A244:D244"/>
    <mergeCell ref="A251:B251"/>
    <mergeCell ref="C251:D251"/>
    <mergeCell ref="A253:B253"/>
    <mergeCell ref="C253:D253"/>
    <mergeCell ref="A246:D246"/>
    <mergeCell ref="A249:D249"/>
    <mergeCell ref="A252:D252"/>
    <mergeCell ref="A254:D254"/>
    <mergeCell ref="A226:D226"/>
    <mergeCell ref="C282:D282"/>
    <mergeCell ref="A282:B282"/>
    <mergeCell ref="A268:D268"/>
    <mergeCell ref="A269:D269"/>
    <mergeCell ref="A270:D270"/>
    <mergeCell ref="A272:D272"/>
    <mergeCell ref="A259:D259"/>
    <mergeCell ref="A260:D260"/>
    <mergeCell ref="A261:D261"/>
    <mergeCell ref="A264:B264"/>
    <mergeCell ref="C264:D264"/>
    <mergeCell ref="A266:D266"/>
    <mergeCell ref="B274:C274"/>
    <mergeCell ref="B275:C275"/>
    <mergeCell ref="B276:C276"/>
    <mergeCell ref="B277:C277"/>
    <mergeCell ref="B278:C278"/>
    <mergeCell ref="A211:B211"/>
    <mergeCell ref="B207:D207"/>
    <mergeCell ref="A213:D213"/>
    <mergeCell ref="A214:D214"/>
    <mergeCell ref="A216:D216"/>
    <mergeCell ref="A193:D193"/>
    <mergeCell ref="A194:D194"/>
    <mergeCell ref="A167:D167"/>
    <mergeCell ref="A168:D168"/>
    <mergeCell ref="A169:D169"/>
    <mergeCell ref="A170:D170"/>
    <mergeCell ref="A171:D171"/>
    <mergeCell ref="A174:D174"/>
    <mergeCell ref="A183:D183"/>
    <mergeCell ref="A184:D184"/>
    <mergeCell ref="A186:D186"/>
    <mergeCell ref="A188:D188"/>
    <mergeCell ref="A190:D190"/>
    <mergeCell ref="A192:D192"/>
    <mergeCell ref="A155:D155"/>
    <mergeCell ref="A157:D157"/>
    <mergeCell ref="A158:D158"/>
    <mergeCell ref="A164:D164"/>
    <mergeCell ref="A165:D165"/>
    <mergeCell ref="A166:D166"/>
    <mergeCell ref="B159:D159"/>
    <mergeCell ref="B160:D160"/>
    <mergeCell ref="B161:D161"/>
    <mergeCell ref="B162:D162"/>
    <mergeCell ref="A150:D150"/>
    <mergeCell ref="A151:D151"/>
    <mergeCell ref="A152:D152"/>
    <mergeCell ref="A153:B153"/>
    <mergeCell ref="C153:D153"/>
    <mergeCell ref="A154:D154"/>
    <mergeCell ref="A145:D145"/>
    <mergeCell ref="A146:D146"/>
    <mergeCell ref="A147:D147"/>
    <mergeCell ref="A148:D148"/>
    <mergeCell ref="A149:B149"/>
    <mergeCell ref="C149:D149"/>
    <mergeCell ref="A139:D139"/>
    <mergeCell ref="A141:B141"/>
    <mergeCell ref="C141:D141"/>
    <mergeCell ref="A142:B142"/>
    <mergeCell ref="C142:D142"/>
    <mergeCell ref="A144:D144"/>
    <mergeCell ref="A133:D133"/>
    <mergeCell ref="A134:D134"/>
    <mergeCell ref="A135:D135"/>
    <mergeCell ref="A136:D136"/>
    <mergeCell ref="A137:D137"/>
    <mergeCell ref="A138:D138"/>
    <mergeCell ref="A127:D127"/>
    <mergeCell ref="A128:D128"/>
    <mergeCell ref="A129:D129"/>
    <mergeCell ref="A130:D130"/>
    <mergeCell ref="A131:D131"/>
    <mergeCell ref="A132:D132"/>
    <mergeCell ref="B122:D122"/>
    <mergeCell ref="B123:D123"/>
    <mergeCell ref="B124:D124"/>
    <mergeCell ref="B125:D125"/>
    <mergeCell ref="A126:D126"/>
    <mergeCell ref="B118:D118"/>
    <mergeCell ref="B119:D119"/>
    <mergeCell ref="B120:D120"/>
    <mergeCell ref="B121:D121"/>
    <mergeCell ref="A107:D107"/>
    <mergeCell ref="A111:D111"/>
    <mergeCell ref="B108:D108"/>
    <mergeCell ref="B112:D112"/>
    <mergeCell ref="B113:D113"/>
    <mergeCell ref="B114:D114"/>
    <mergeCell ref="A110:D110"/>
    <mergeCell ref="B80:D80"/>
    <mergeCell ref="B81:D81"/>
    <mergeCell ref="B82:D82"/>
    <mergeCell ref="B83:D83"/>
    <mergeCell ref="A76:D76"/>
    <mergeCell ref="A78:D78"/>
    <mergeCell ref="A79:D79"/>
    <mergeCell ref="A116:D116"/>
    <mergeCell ref="B117:D117"/>
    <mergeCell ref="A92:D92"/>
    <mergeCell ref="A93:D93"/>
    <mergeCell ref="A94:D94"/>
    <mergeCell ref="A98:D98"/>
    <mergeCell ref="A102:D102"/>
    <mergeCell ref="A103:D103"/>
    <mergeCell ref="A88:D88"/>
    <mergeCell ref="A89:D89"/>
    <mergeCell ref="A90:D90"/>
    <mergeCell ref="A91:D91"/>
    <mergeCell ref="A22:D22"/>
    <mergeCell ref="A23:D23"/>
    <mergeCell ref="A24:D24"/>
    <mergeCell ref="A55:D55"/>
    <mergeCell ref="A56:D56"/>
    <mergeCell ref="A62:D62"/>
    <mergeCell ref="A26:B26"/>
    <mergeCell ref="A74:B74"/>
    <mergeCell ref="C74:D74"/>
    <mergeCell ref="B60:D60"/>
    <mergeCell ref="B59:D59"/>
    <mergeCell ref="B58:D58"/>
    <mergeCell ref="B57:D57"/>
    <mergeCell ref="A69:D69"/>
    <mergeCell ref="A63:D63"/>
    <mergeCell ref="A64:D64"/>
    <mergeCell ref="A65:D65"/>
    <mergeCell ref="A66:D66"/>
    <mergeCell ref="A67:D67"/>
    <mergeCell ref="A68:D68"/>
    <mergeCell ref="A28:D28"/>
    <mergeCell ref="A29:D29"/>
    <mergeCell ref="A30:D30"/>
    <mergeCell ref="A31:D31"/>
    <mergeCell ref="A16:D16"/>
    <mergeCell ref="A17:D17"/>
    <mergeCell ref="A18:D18"/>
    <mergeCell ref="A19:D19"/>
    <mergeCell ref="A20:D20"/>
    <mergeCell ref="A21:D21"/>
    <mergeCell ref="A10:D10"/>
    <mergeCell ref="A11:D11"/>
    <mergeCell ref="A12:D12"/>
    <mergeCell ref="A13:D13"/>
    <mergeCell ref="A14:D14"/>
    <mergeCell ref="A15:D15"/>
    <mergeCell ref="A4:D4"/>
    <mergeCell ref="A5:D5"/>
    <mergeCell ref="A6:D6"/>
    <mergeCell ref="A7:D7"/>
    <mergeCell ref="A8:D8"/>
    <mergeCell ref="A9:D9"/>
    <mergeCell ref="A1:D1"/>
    <mergeCell ref="A2:D2"/>
    <mergeCell ref="A3:D3"/>
  </mergeCells>
  <pageMargins left="0.5" right="0.5" top="0.5" bottom="0.5" header="0.31496062992125984" footer="0.31496062992125984"/>
  <pageSetup scale="60" fitToWidth="50" fitToHeight="50" orientation="portrait" r:id="rId1"/>
  <rowBreaks count="9" manualBreakCount="9">
    <brk id="26" max="3" man="1"/>
    <brk id="54" max="3" man="1"/>
    <brk id="75" max="3" man="1"/>
    <brk id="86" max="3" man="1"/>
    <brk id="114" max="3" man="1"/>
    <brk id="175" max="3" man="1"/>
    <brk id="191" max="3" man="1"/>
    <brk id="215" max="3" man="1"/>
    <brk id="265" max="3" man="1"/>
  </rowBreaks>
  <colBreaks count="1" manualBreakCount="1">
    <brk id="4" max="1048575" man="1"/>
  </colBreaks>
  <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1"/>
  <dimension ref="A1:H830"/>
  <sheetViews>
    <sheetView showGridLines="0" rightToLeft="1" view="pageBreakPreview" zoomScale="73" zoomScaleNormal="115" zoomScaleSheetLayoutView="73" workbookViewId="0">
      <selection activeCell="A13" sqref="A13:D13"/>
    </sheetView>
  </sheetViews>
  <sheetFormatPr defaultColWidth="9.140625" defaultRowHeight="15"/>
  <cols>
    <col min="1" max="1" width="39.7109375" style="612" customWidth="1"/>
    <col min="2" max="4" width="40.42578125" style="612" customWidth="1"/>
    <col min="5" max="5" width="9.140625" style="612"/>
    <col min="6" max="6" width="55.7109375" style="612" customWidth="1"/>
    <col min="7" max="16384" width="9.140625" style="612"/>
  </cols>
  <sheetData>
    <row r="1" spans="1:4" ht="24.95" customHeight="1">
      <c r="A1" s="1572" t="s">
        <v>631</v>
      </c>
      <c r="B1" s="1572"/>
      <c r="C1" s="1572"/>
      <c r="D1" s="1572"/>
    </row>
    <row r="2" spans="1:4" ht="18.75">
      <c r="A2" s="1658" t="str">
        <f>"تاريخ العقد: "&amp;TEXT('مدخلات العقود'!$J$15,"dd/mm/yyyy")</f>
        <v>تاريخ العقد: 00/01/1900</v>
      </c>
      <c r="B2" s="1658"/>
      <c r="C2" s="1658"/>
      <c r="D2" s="1658"/>
    </row>
    <row r="3" spans="1:4" ht="38.1" customHeight="1">
      <c r="A3" s="1647" t="s">
        <v>1018</v>
      </c>
      <c r="B3" s="1647"/>
      <c r="C3" s="1647"/>
      <c r="D3" s="1647"/>
    </row>
    <row r="4" spans="1:4" ht="18.75">
      <c r="A4" s="1647" t="s">
        <v>633</v>
      </c>
      <c r="B4" s="1647"/>
      <c r="C4" s="1647"/>
      <c r="D4" s="1647"/>
    </row>
    <row r="5" spans="1:4" ht="18.75">
      <c r="A5" s="1648" t="s">
        <v>1019</v>
      </c>
      <c r="B5" s="1648"/>
      <c r="C5" s="1648"/>
      <c r="D5" s="1648"/>
    </row>
    <row r="6" spans="1:4" ht="38.1" customHeight="1">
      <c r="A6" s="1647" t="str">
        <f>"السيد/ السيدة: "&amp;'مدخلات العقود'!$B$2&amp;"، حامل هوية رقم: "&amp; 'مدخلات العقود'!$D$2&amp;"، والصادرة في: "&amp;'مدخلات العقود'!$F$2&amp;"، بتاريخ: "&amp;TEXT('مدخلات العقود'!$H$2,"dd/mm/yyyy")&amp;"، وعنوانة لغايات التبليغ: "&amp;'مدخلات العقود'!$J$2&amp;"، ورقم هاتفه: "&amp;'مدخلات العقود'!$L$2</f>
        <v>السيد/ السيدة: 0، حامل هوية رقم: 0، والصادرة في: ، بتاريخ: 00/01/1900، وعنوانة لغايات التبليغ:  -  -  - ، ورقم هاتفه: 0</v>
      </c>
      <c r="B6" s="1647"/>
      <c r="C6" s="1647"/>
      <c r="D6" s="1647"/>
    </row>
    <row r="7" spans="1:4" ht="18.75">
      <c r="A7" s="795"/>
      <c r="B7" s="796"/>
      <c r="C7" s="796"/>
      <c r="D7" s="796"/>
    </row>
    <row r="8" spans="1:4" ht="18.75">
      <c r="A8" s="1649" t="s">
        <v>634</v>
      </c>
      <c r="B8" s="1649"/>
      <c r="C8" s="1649"/>
      <c r="D8" s="1649"/>
    </row>
    <row r="9" spans="1:4" ht="39.950000000000003" customHeight="1">
      <c r="A9" s="797" t="s">
        <v>635</v>
      </c>
      <c r="B9" s="1650" t="str">
        <f>"السيد/ السيدة: "&amp;'مدخلات العقود'!$B$4&amp;"، حامل هوية رقم: "&amp;'مدخلات العقود'!$D$4&amp;"، والصادرة في "&amp;'مدخلات العقود'!$F$4&amp;"، بتاريخ "&amp;TEXT('مدخلات العقود'!$H$4,"dd/mm/yyyy")&amp;"، وعنوانه لغايات التبليغ "&amp;'مدخلات العقود'!$J$4&amp;"، ورقم هاتفه"&amp;'مدخلات العقود'!$L$4</f>
        <v>السيد/ السيدة: لا يوجد، حامل هوية رقم: لا يوجد، والصادرة في ، بتاريخ 00/01/1900، وعنوانه لغايات التبليغ لا يوجد، ورقم هاتفه لا يوجد</v>
      </c>
      <c r="C9" s="1650"/>
      <c r="D9" s="1650"/>
    </row>
    <row r="10" spans="1:4" ht="39.950000000000003" customHeight="1">
      <c r="A10" s="797" t="s">
        <v>636</v>
      </c>
      <c r="B10" s="1650" t="str">
        <f>"السيد/ السيدة: "&amp;'مدخلات العقود'!$B$5&amp;"، حامل هوية رقم: "&amp;'مدخلات العقود'!$D$5&amp;"، والصادرة في "&amp;'مدخلات العقود'!$F$5&amp;"، بتاريخ "&amp;TEXT('مدخلات العقود'!$H$5,"dd/mm/yyyy")&amp;"، وعنوانه لغايات التبليغ "&amp;'مدخلات العقود'!$J5&amp;"، ورقم هاتفه"&amp;'مدخلات العقود'!$L$5</f>
        <v>السيد/ السيدة: لا يوجد، حامل هوية رقم: لا يوجد، والصادرة في ، بتاريخ 00/01/1900، وعنوانه لغايات التبليغ لا يوجد، ورقم هاتفه لا يوجد</v>
      </c>
      <c r="C10" s="1650"/>
      <c r="D10" s="1650"/>
    </row>
    <row r="11" spans="1:4" ht="39.950000000000003" customHeight="1">
      <c r="A11" s="797" t="s">
        <v>637</v>
      </c>
      <c r="B11" s="1650" t="str">
        <f>"السيد/ السيدة: "&amp;'مدخلات العقود'!$B$6&amp;"، حامل هوية رقم: "&amp;'مدخلات العقود'!$D$6&amp;"، والصادرة في "&amp;'مدخلات العقود'!$F$6&amp;"، بتاريخ "&amp;TEXT('مدخلات العقود'!$H$6,"dd/mm/yyyy")&amp;"، وعنوانه لغايات التبليغ "&amp;'مدخلات العقود'!$J6&amp;"، ورقم هاتفه"&amp;'مدخلات العقود'!$L$6</f>
        <v>السيد/ السيدة: لا يوجد، حامل هوية رقم: لا يوجد، والصادرة في ، بتاريخ 00/01/1900، وعنوانه لغايات التبليغ لا يوجد، ورقم هاتفه لا يوجد</v>
      </c>
      <c r="C11" s="1650"/>
      <c r="D11" s="1650"/>
    </row>
    <row r="12" spans="1:4" ht="39.950000000000003" customHeight="1">
      <c r="A12" s="797" t="s">
        <v>638</v>
      </c>
      <c r="B12" s="1650" t="str">
        <f>"السيد/ السيدة: "&amp;'مدخلات العقود'!$B$7&amp;"، حامل هوية رقم: "&amp;'مدخلات العقود'!$D$7&amp;"، والصادرة في "&amp;'مدخلات العقود'!$F$7&amp;"، بتاريخ "&amp;TEXT('مدخلات العقود'!$H$7,"dd/mm/yyyy")&amp;"، وعنوانه لغايات التبليغ "&amp;'مدخلات العقود'!$J7&amp;"، ورقم هاتفه"&amp;'مدخلات العقود'!$L$7</f>
        <v>السيد/ السيدة: لا يوجد، حامل هوية رقم: لا يوجد، والصادرة في ، بتاريخ 00/01/1900، وعنوانه لغايات التبليغ لا يوجد، ورقم هاتفه لا يوجد</v>
      </c>
      <c r="C12" s="1650"/>
      <c r="D12" s="1650"/>
    </row>
    <row r="13" spans="1:4" ht="38.1" customHeight="1">
      <c r="A13" s="1647" t="s">
        <v>1013</v>
      </c>
      <c r="B13" s="1647"/>
      <c r="C13" s="1647"/>
      <c r="D13" s="1647"/>
    </row>
    <row r="14" spans="1:4" ht="18.75">
      <c r="A14" s="1647" t="s">
        <v>639</v>
      </c>
      <c r="B14" s="1647"/>
      <c r="C14" s="1647"/>
      <c r="D14" s="1647"/>
    </row>
    <row r="15" spans="1:4" ht="75" customHeight="1">
      <c r="A15" s="1647" t="s">
        <v>1034</v>
      </c>
      <c r="B15" s="1651"/>
      <c r="C15" s="1651"/>
      <c r="D15" s="1651"/>
    </row>
    <row r="16" spans="1:4" ht="18.75">
      <c r="A16" s="1647" t="s">
        <v>640</v>
      </c>
      <c r="B16" s="1651"/>
      <c r="C16" s="1651"/>
      <c r="D16" s="1651"/>
    </row>
    <row r="17" spans="1:7" ht="18.75">
      <c r="A17" s="1647" t="s">
        <v>938</v>
      </c>
      <c r="B17" s="1651"/>
      <c r="C17" s="1651"/>
      <c r="D17" s="1651"/>
    </row>
    <row r="18" spans="1:7" ht="38.1" customHeight="1">
      <c r="A18" s="1651" t="s">
        <v>1032</v>
      </c>
      <c r="B18" s="1651"/>
      <c r="C18" s="1651"/>
      <c r="D18" s="1651"/>
    </row>
    <row r="19" spans="1:7" ht="18.75">
      <c r="A19" s="1647" t="s">
        <v>641</v>
      </c>
      <c r="B19" s="1651"/>
      <c r="C19" s="1651"/>
      <c r="D19" s="1651"/>
    </row>
    <row r="20" spans="1:7" ht="18.75">
      <c r="A20" s="1652" t="s">
        <v>592</v>
      </c>
      <c r="B20" s="1652"/>
      <c r="C20" s="1652"/>
      <c r="D20" s="1652"/>
      <c r="E20" s="777"/>
      <c r="F20" s="777"/>
      <c r="G20" s="777"/>
    </row>
    <row r="21" spans="1:7" ht="18.75">
      <c r="A21" s="869" t="s">
        <v>642</v>
      </c>
      <c r="B21" s="798">
        <f>التوصية!$D$1</f>
        <v>0</v>
      </c>
      <c r="C21" s="869" t="s">
        <v>643</v>
      </c>
      <c r="D21" s="869" t="str">
        <f>التوصية!$B$1</f>
        <v>A ? - 1 - 1900</v>
      </c>
      <c r="E21" s="778"/>
      <c r="G21" s="778"/>
    </row>
    <row r="22" spans="1:7" ht="18.75">
      <c r="A22" s="799">
        <v>5</v>
      </c>
      <c r="B22" s="800"/>
      <c r="C22" s="800"/>
      <c r="D22" s="801"/>
      <c r="F22" s="773"/>
      <c r="G22" s="773"/>
    </row>
    <row r="23" spans="1:7" ht="18.75">
      <c r="A23" s="802" t="s">
        <v>588</v>
      </c>
      <c r="B23" s="1653" t="str">
        <f>'مدخلات العقود'!$F$12</f>
        <v/>
      </c>
      <c r="C23" s="1653"/>
      <c r="D23" s="1653"/>
      <c r="E23" s="773"/>
      <c r="F23" s="773"/>
      <c r="G23" s="773"/>
    </row>
    <row r="24" spans="1:7" ht="18.75">
      <c r="A24" s="802" t="s">
        <v>917</v>
      </c>
      <c r="B24" s="1653" t="str">
        <f>'مدخلات العقود'!$J$12</f>
        <v/>
      </c>
      <c r="C24" s="1653"/>
      <c r="D24" s="1653"/>
      <c r="F24" s="773"/>
      <c r="G24" s="773"/>
    </row>
    <row r="25" spans="1:7" ht="18.75">
      <c r="A25" s="802" t="s">
        <v>589</v>
      </c>
      <c r="B25" s="1653">
        <f>'مدخلات العقود'!$H$12</f>
        <v>2015</v>
      </c>
      <c r="C25" s="1653"/>
      <c r="D25" s="1653"/>
      <c r="F25" s="773"/>
      <c r="G25" s="773"/>
    </row>
    <row r="26" spans="1:7" ht="18.75">
      <c r="A26" s="802" t="s">
        <v>939</v>
      </c>
      <c r="B26" s="1653" t="str">
        <f>'مدخلات العقود'!$L$12</f>
        <v/>
      </c>
      <c r="C26" s="1653"/>
      <c r="D26" s="1653"/>
      <c r="F26" s="773"/>
      <c r="G26" s="773"/>
    </row>
    <row r="27" spans="1:7" ht="38.1" customHeight="1">
      <c r="A27" s="803" t="str">
        <f>"6.1 المورد للعين: "&amp;'مدخلات العقود'!$B$9</f>
        <v>6.1 المورد للعين: 0</v>
      </c>
      <c r="B27" s="1650" t="str">
        <f>"6.2 ورقم تسجيل/ حامل هوية رقم "&amp; 'مدخلات العقود'!$D$9&amp;"، الصادرة في "&amp;'مدخلات العقود'!$F$9&amp;"، بتاريخ "&amp;TEXT('مدخلات العقود'!$H$9,"dd/mm/yyyy")&amp;"، وعنوانة لغايات التبليغ "&amp;'مدخلات العقود'!$J$9&amp;"، ورقم هاتفه "&amp;'مدخلات العقود'!$L$9</f>
        <v>6.2 ورقم تسجيل/ حامل هوية رقم 0، الصادرة في ، بتاريخ 00/01/1900، وعنوانة لغايات التبليغ رام الله، ورقم هاتفه 0</v>
      </c>
      <c r="C27" s="1650"/>
      <c r="D27" s="1650"/>
      <c r="F27" s="773"/>
      <c r="G27" s="773"/>
    </row>
    <row r="28" spans="1:7" ht="18.75">
      <c r="A28" s="1650" t="str">
        <f>"7. مدة الاجارة: "&amp;'مدخلات العقود'!$B$14</f>
        <v>7. مدة الاجارة: 48 شهر</v>
      </c>
      <c r="B28" s="1650"/>
      <c r="C28" s="1650" t="str">
        <f>"8.غايات استعمال العين: "&amp;'مدخلات العقود'!$B$18</f>
        <v xml:space="preserve">8.غايات استعمال العين: </v>
      </c>
      <c r="D28" s="1650"/>
      <c r="E28" s="778"/>
      <c r="F28" s="778"/>
      <c r="G28" s="778"/>
    </row>
    <row r="29" spans="1:7" ht="18.75">
      <c r="A29" s="1650" t="str">
        <f>"9.1 المبلغ الاجمالي شامل الضريبة للسداد: "&amp;TEXT('جدول السداد'!$O$35,"0,0")&amp;" "&amp;IF(FC=USD,USD,IF(FC=ILS,ILS,IF(FC=EUR,EUR)))</f>
        <v>9.1 المبلغ الاجمالي شامل الضريبة للسداد: 9,600 دولار</v>
      </c>
      <c r="B29" s="1650"/>
      <c r="C29" s="1650" t="str">
        <f>"9.2 عدد الدفعات الشهرية: "&amp;'مدخلات العقود'!$B$15</f>
        <v>9.2 عدد الدفعات الشهرية: 48 شهر</v>
      </c>
      <c r="D29" s="1650"/>
      <c r="E29" s="778"/>
      <c r="F29" s="778"/>
    </row>
    <row r="30" spans="1:7" ht="18.75">
      <c r="A30" s="1650" t="str">
        <f>"10. مبلغ الدفعة المقدمة شاملة (ض.ق.م): "&amp;'مدخلات العقود'!$B$17</f>
        <v>10. مبلغ الدفعة المقدمة شاملة (ض.ق.م): -7,343 دولار</v>
      </c>
      <c r="B30" s="1650"/>
      <c r="C30" s="1650"/>
      <c r="D30" s="1650"/>
      <c r="E30" s="778"/>
      <c r="F30" s="778"/>
      <c r="G30" s="778"/>
    </row>
    <row r="31" spans="1:7" ht="18.75">
      <c r="A31" s="1650" t="s">
        <v>940</v>
      </c>
      <c r="B31" s="1650"/>
      <c r="C31" s="1650"/>
      <c r="D31" s="1650"/>
      <c r="E31" s="778"/>
      <c r="F31" s="778"/>
      <c r="G31" s="778"/>
    </row>
    <row r="32" spans="1:7" ht="18.75">
      <c r="A32" s="869" t="s">
        <v>644</v>
      </c>
      <c r="B32" s="804" t="str">
        <f>'مدخلات العقود'!$D$16</f>
        <v>/5/2021</v>
      </c>
      <c r="C32" s="869" t="s">
        <v>645</v>
      </c>
      <c r="D32" s="804" t="str">
        <f>'مدخلات العقود'!$D$17</f>
        <v>0/4/2025</v>
      </c>
      <c r="F32" s="778"/>
    </row>
    <row r="33" spans="1:4" ht="9.9499999999999993" customHeight="1">
      <c r="A33" s="805"/>
      <c r="B33" s="796"/>
      <c r="C33" s="796"/>
      <c r="D33" s="796"/>
    </row>
    <row r="34" spans="1:4" ht="18.75">
      <c r="A34" s="1647" t="s">
        <v>941</v>
      </c>
      <c r="B34" s="1647"/>
      <c r="C34" s="1647"/>
      <c r="D34" s="1647"/>
    </row>
    <row r="35" spans="1:4" ht="18.75">
      <c r="A35" s="1647" t="s">
        <v>1020</v>
      </c>
      <c r="B35" s="1647"/>
      <c r="C35" s="1647"/>
      <c r="D35" s="1647"/>
    </row>
    <row r="36" spans="1:4" ht="132" customHeight="1">
      <c r="A36" s="1651" t="s">
        <v>1012</v>
      </c>
      <c r="B36" s="1651"/>
      <c r="C36" s="1651"/>
      <c r="D36" s="1651"/>
    </row>
    <row r="37" spans="1:4" ht="18.75">
      <c r="A37" s="1647" t="s">
        <v>1021</v>
      </c>
      <c r="B37" s="1647"/>
      <c r="C37" s="1647"/>
      <c r="D37" s="1647"/>
    </row>
    <row r="38" spans="1:4" ht="18.75">
      <c r="A38" s="1651" t="s">
        <v>1022</v>
      </c>
      <c r="B38" s="1657"/>
      <c r="C38" s="1657"/>
      <c r="D38" s="1657"/>
    </row>
    <row r="39" spans="1:4" ht="60" customHeight="1">
      <c r="A39" s="1651" t="s">
        <v>1014</v>
      </c>
      <c r="B39" s="1657"/>
      <c r="C39" s="1657"/>
      <c r="D39" s="1657"/>
    </row>
    <row r="40" spans="1:4" ht="38.1" customHeight="1">
      <c r="A40" s="1651" t="s">
        <v>991</v>
      </c>
      <c r="B40" s="1657"/>
      <c r="C40" s="1657"/>
      <c r="D40" s="1657"/>
    </row>
    <row r="41" spans="1:4" ht="38.1" customHeight="1">
      <c r="A41" s="1651" t="s">
        <v>992</v>
      </c>
      <c r="B41" s="1657"/>
      <c r="C41" s="1657"/>
      <c r="D41" s="1657"/>
    </row>
    <row r="42" spans="1:4" ht="38.1" customHeight="1">
      <c r="A42" s="1651" t="s">
        <v>993</v>
      </c>
      <c r="B42" s="1657"/>
      <c r="C42" s="1657"/>
      <c r="D42" s="1657"/>
    </row>
    <row r="43" spans="1:4" ht="93.95" customHeight="1">
      <c r="A43" s="1651" t="s">
        <v>994</v>
      </c>
      <c r="B43" s="1657"/>
      <c r="C43" s="1657"/>
      <c r="D43" s="1657"/>
    </row>
    <row r="44" spans="1:4" ht="93.95" customHeight="1">
      <c r="A44" s="1651" t="s">
        <v>995</v>
      </c>
      <c r="B44" s="1657"/>
      <c r="C44" s="1657"/>
      <c r="D44" s="1657"/>
    </row>
    <row r="45" spans="1:4" ht="75" customHeight="1">
      <c r="A45" s="1651" t="s">
        <v>996</v>
      </c>
      <c r="B45" s="1657"/>
      <c r="C45" s="1657"/>
      <c r="D45" s="1657"/>
    </row>
    <row r="46" spans="1:4" ht="18.75">
      <c r="A46" s="1651" t="s">
        <v>997</v>
      </c>
      <c r="B46" s="1657"/>
      <c r="C46" s="1657"/>
      <c r="D46" s="1657"/>
    </row>
    <row r="47" spans="1:4" ht="75" customHeight="1">
      <c r="A47" s="1651" t="s">
        <v>998</v>
      </c>
      <c r="B47" s="1657"/>
      <c r="C47" s="1657"/>
      <c r="D47" s="1657"/>
    </row>
    <row r="48" spans="1:4" ht="18.75">
      <c r="A48" s="1647" t="s">
        <v>1023</v>
      </c>
      <c r="B48" s="1657"/>
      <c r="C48" s="1657"/>
      <c r="D48" s="1657"/>
    </row>
    <row r="49" spans="1:4" ht="18.75">
      <c r="A49" s="1647" t="s">
        <v>1024</v>
      </c>
      <c r="B49" s="1657"/>
      <c r="C49" s="1657"/>
      <c r="D49" s="1657"/>
    </row>
    <row r="50" spans="1:4" ht="93.95" customHeight="1">
      <c r="A50" s="1651" t="s">
        <v>646</v>
      </c>
      <c r="B50" s="1657"/>
      <c r="C50" s="1657"/>
      <c r="D50" s="1657"/>
    </row>
    <row r="51" spans="1:4" ht="18.75">
      <c r="A51" s="1651" t="s">
        <v>1027</v>
      </c>
      <c r="B51" s="1657"/>
      <c r="C51" s="1657"/>
      <c r="D51" s="1657"/>
    </row>
    <row r="52" spans="1:4" ht="18.75">
      <c r="A52" s="1651" t="s">
        <v>647</v>
      </c>
      <c r="B52" s="1657"/>
      <c r="C52" s="1657"/>
      <c r="D52" s="1657"/>
    </row>
    <row r="53" spans="1:4" ht="39.950000000000003" customHeight="1">
      <c r="A53" s="1651" t="s">
        <v>1033</v>
      </c>
      <c r="B53" s="1657"/>
      <c r="C53" s="1657"/>
      <c r="D53" s="1657"/>
    </row>
    <row r="54" spans="1:4" ht="38.1" customHeight="1">
      <c r="A54" s="1659" t="s">
        <v>648</v>
      </c>
      <c r="B54" s="1660"/>
      <c r="C54" s="1660"/>
      <c r="D54" s="1660"/>
    </row>
    <row r="55" spans="1:4" ht="18.75">
      <c r="A55" s="1647" t="s">
        <v>1025</v>
      </c>
      <c r="B55" s="1657"/>
      <c r="C55" s="1657"/>
      <c r="D55" s="1657"/>
    </row>
    <row r="56" spans="1:4" ht="38.1" customHeight="1">
      <c r="A56" s="1651" t="s">
        <v>649</v>
      </c>
      <c r="B56" s="1651"/>
      <c r="C56" s="1651"/>
      <c r="D56" s="1651"/>
    </row>
    <row r="57" spans="1:4" ht="18.75">
      <c r="A57" s="1651" t="s">
        <v>999</v>
      </c>
      <c r="B57" s="1657"/>
      <c r="C57" s="1657"/>
      <c r="D57" s="1657"/>
    </row>
    <row r="58" spans="1:4" ht="38.1" customHeight="1">
      <c r="A58" s="1651" t="s">
        <v>650</v>
      </c>
      <c r="B58" s="1657"/>
      <c r="C58" s="1657"/>
      <c r="D58" s="1657"/>
    </row>
    <row r="59" spans="1:4" ht="38.1" customHeight="1">
      <c r="A59" s="1651" t="s">
        <v>1017</v>
      </c>
      <c r="B59" s="1657"/>
      <c r="C59" s="1657"/>
      <c r="D59" s="1657"/>
    </row>
    <row r="60" spans="1:4" ht="38.1" customHeight="1">
      <c r="A60" s="1651" t="s">
        <v>1000</v>
      </c>
      <c r="B60" s="1657"/>
      <c r="C60" s="1657"/>
      <c r="D60" s="1657"/>
    </row>
    <row r="61" spans="1:4" ht="18.75">
      <c r="A61" s="1647" t="s">
        <v>1026</v>
      </c>
      <c r="B61" s="1657"/>
      <c r="C61" s="1657"/>
      <c r="D61" s="1657"/>
    </row>
    <row r="62" spans="1:4" ht="18.75">
      <c r="A62" s="1651" t="s">
        <v>1028</v>
      </c>
      <c r="B62" s="1657"/>
      <c r="C62" s="1657"/>
      <c r="D62" s="1657"/>
    </row>
    <row r="63" spans="1:4" ht="18.75">
      <c r="A63" s="1651" t="s">
        <v>1029</v>
      </c>
      <c r="B63" s="1657"/>
      <c r="C63" s="1657"/>
      <c r="D63" s="1657"/>
    </row>
    <row r="64" spans="1:4" ht="38.1" customHeight="1">
      <c r="A64" s="1651" t="s">
        <v>1030</v>
      </c>
      <c r="B64" s="1657"/>
      <c r="C64" s="1657"/>
      <c r="D64" s="1657"/>
    </row>
    <row r="65" spans="1:4" ht="18.75">
      <c r="A65" s="1651" t="s">
        <v>1031</v>
      </c>
      <c r="B65" s="1657"/>
      <c r="C65" s="1657"/>
      <c r="D65" s="1657"/>
    </row>
    <row r="66" spans="1:4" ht="38.1" customHeight="1">
      <c r="A66" s="1651" t="s">
        <v>1016</v>
      </c>
      <c r="B66" s="1657"/>
      <c r="C66" s="1657"/>
      <c r="D66" s="1657"/>
    </row>
    <row r="67" spans="1:4" ht="38.1" customHeight="1">
      <c r="A67" s="1651" t="s">
        <v>1015</v>
      </c>
      <c r="B67" s="1657"/>
      <c r="C67" s="1657"/>
      <c r="D67" s="1657"/>
    </row>
    <row r="68" spans="1:4" ht="24.95" customHeight="1">
      <c r="A68" s="1572" t="s">
        <v>631</v>
      </c>
      <c r="B68" s="1572"/>
      <c r="C68" s="1572"/>
      <c r="D68" s="1572"/>
    </row>
    <row r="69" spans="1:4" ht="18.75">
      <c r="A69" s="1658" t="str">
        <f>"تاريخ العقد: "&amp;TEXT('مدخلات العقود'!$J$15,"dd/mm/yyyy")</f>
        <v>تاريخ العقد: 00/01/1900</v>
      </c>
      <c r="B69" s="1658"/>
      <c r="C69" s="1658"/>
      <c r="D69" s="1658"/>
    </row>
    <row r="70" spans="1:4" ht="38.1" customHeight="1">
      <c r="A70" s="1647" t="s">
        <v>1018</v>
      </c>
      <c r="B70" s="1647"/>
      <c r="C70" s="1647"/>
      <c r="D70" s="1647"/>
    </row>
    <row r="71" spans="1:4" ht="18.75">
      <c r="A71" s="1647" t="s">
        <v>633</v>
      </c>
      <c r="B71" s="1647"/>
      <c r="C71" s="1647"/>
      <c r="D71" s="1647"/>
    </row>
    <row r="72" spans="1:4" ht="18.75">
      <c r="A72" s="1648" t="s">
        <v>1019</v>
      </c>
      <c r="B72" s="1648"/>
      <c r="C72" s="1648"/>
      <c r="D72" s="1648"/>
    </row>
    <row r="73" spans="1:4" ht="38.1" customHeight="1">
      <c r="A73" s="1647" t="str">
        <f>"السيد/ السيدة: "&amp;'مدخلات العقود'!$B$2&amp;"، حامل هوية رقم: "&amp; 'مدخلات العقود'!$D$2&amp;"، والصادرة في: "&amp;'مدخلات العقود'!$F$2&amp;"، بتاريخ: "&amp;TEXT('مدخلات العقود'!$H$2,"dd/mm/yyyy")&amp;"، وعنوانة لغايات التبليغ: "&amp;'مدخلات العقود'!$J$2&amp;"، ورقم هاتفه: "&amp;'مدخلات العقود'!$L$2</f>
        <v>السيد/ السيدة: 0، حامل هوية رقم: 0، والصادرة في: ، بتاريخ: 00/01/1900، وعنوانة لغايات التبليغ:  -  -  - ، ورقم هاتفه: 0</v>
      </c>
      <c r="B73" s="1647"/>
      <c r="C73" s="1647"/>
      <c r="D73" s="1647"/>
    </row>
    <row r="74" spans="1:4" ht="18.75">
      <c r="A74" s="795"/>
      <c r="B74" s="796"/>
      <c r="C74" s="796"/>
      <c r="D74" s="796"/>
    </row>
    <row r="75" spans="1:4" ht="18.75">
      <c r="A75" s="1649" t="s">
        <v>634</v>
      </c>
      <c r="B75" s="1649"/>
      <c r="C75" s="1649"/>
      <c r="D75" s="1649"/>
    </row>
    <row r="76" spans="1:4" ht="39.950000000000003" customHeight="1">
      <c r="A76" s="797" t="s">
        <v>635</v>
      </c>
      <c r="B76" s="1650" t="str">
        <f>"السيد/ السيدة: "&amp;'مدخلات العقود'!$B$4&amp;"، حامل هوية رقم: "&amp;'مدخلات العقود'!$D$4&amp;"، والصادرة في "&amp;'مدخلات العقود'!$F$4&amp;"، بتاريخ "&amp;TEXT('مدخلات العقود'!$H$4,"dd/mm/yyyy")&amp;"، وعنوانه لغايات التبليغ "&amp;'مدخلات العقود'!$J$4&amp;"، ورقم هاتفه"&amp;'مدخلات العقود'!$L$4</f>
        <v>السيد/ السيدة: لا يوجد، حامل هوية رقم: لا يوجد، والصادرة في ، بتاريخ 00/01/1900، وعنوانه لغايات التبليغ لا يوجد، ورقم هاتفه لا يوجد</v>
      </c>
      <c r="C76" s="1650"/>
      <c r="D76" s="1650"/>
    </row>
    <row r="77" spans="1:4" ht="39.950000000000003" customHeight="1">
      <c r="A77" s="797" t="s">
        <v>636</v>
      </c>
      <c r="B77" s="1650" t="str">
        <f>"السيد/ السيدة: "&amp;'مدخلات العقود'!$B$5&amp;"، حامل هوية رقم: "&amp;'مدخلات العقود'!$D$5&amp;"، والصادرة في "&amp;'مدخلات العقود'!$F$5&amp;"، بتاريخ "&amp;TEXT('مدخلات العقود'!$H$5,"dd/mm/yyyy")&amp;"، وعنوانه لغايات التبليغ "&amp;'مدخلات العقود'!$J72&amp;"، ورقم هاتفه"&amp;'مدخلات العقود'!$L$5</f>
        <v>السيد/ السيدة: لا يوجد، حامل هوية رقم: لا يوجد، والصادرة في ، بتاريخ 00/01/1900، وعنوانه لغايات التبليغ ، ورقم هاتفه لا يوجد</v>
      </c>
      <c r="C77" s="1650"/>
      <c r="D77" s="1650"/>
    </row>
    <row r="78" spans="1:4" ht="39.950000000000003" customHeight="1">
      <c r="A78" s="797" t="s">
        <v>637</v>
      </c>
      <c r="B78" s="1650" t="str">
        <f>"السيد/ السيدة: "&amp;'مدخلات العقود'!$B$6&amp;"، حامل هوية رقم: "&amp;'مدخلات العقود'!$D$6&amp;"، والصادرة في "&amp;'مدخلات العقود'!$F$6&amp;"، بتاريخ "&amp;TEXT('مدخلات العقود'!$H$6,"dd/mm/yyyy")&amp;"، وعنوانه لغايات التبليغ "&amp;'مدخلات العقود'!$J73&amp;"، ورقم هاتفه"&amp;'مدخلات العقود'!$L$6</f>
        <v>السيد/ السيدة: لا يوجد، حامل هوية رقم: لا يوجد، والصادرة في ، بتاريخ 00/01/1900، وعنوانه لغايات التبليغ ، ورقم هاتفه لا يوجد</v>
      </c>
      <c r="C78" s="1650"/>
      <c r="D78" s="1650"/>
    </row>
    <row r="79" spans="1:4" ht="39.950000000000003" customHeight="1">
      <c r="A79" s="797" t="s">
        <v>638</v>
      </c>
      <c r="B79" s="1650" t="str">
        <f>"السيد/ السيدة: "&amp;'مدخلات العقود'!$B$7&amp;"، حامل هوية رقم: "&amp;'مدخلات العقود'!$D$7&amp;"، والصادرة في "&amp;'مدخلات العقود'!$F$7&amp;"، بتاريخ "&amp;TEXT('مدخلات العقود'!$H$7,"dd/mm/yyyy")&amp;"، وعنوانه لغايات التبليغ "&amp;'مدخلات العقود'!$J74&amp;"، ورقم هاتفه"&amp;'مدخلات العقود'!$L$7</f>
        <v>السيد/ السيدة: لا يوجد، حامل هوية رقم: لا يوجد، والصادرة في ، بتاريخ 00/01/1900، وعنوانه لغايات التبليغ ، ورقم هاتفه لا يوجد</v>
      </c>
      <c r="C79" s="1650"/>
      <c r="D79" s="1650"/>
    </row>
    <row r="80" spans="1:4" ht="38.1" customHeight="1">
      <c r="A80" s="1647" t="s">
        <v>1013</v>
      </c>
      <c r="B80" s="1647"/>
      <c r="C80" s="1647"/>
      <c r="D80" s="1647"/>
    </row>
    <row r="81" spans="1:7" ht="18.75">
      <c r="A81" s="1647" t="s">
        <v>639</v>
      </c>
      <c r="B81" s="1647"/>
      <c r="C81" s="1647"/>
      <c r="D81" s="1647"/>
    </row>
    <row r="82" spans="1:7" ht="75" customHeight="1">
      <c r="A82" s="1647" t="s">
        <v>1034</v>
      </c>
      <c r="B82" s="1651"/>
      <c r="C82" s="1651"/>
      <c r="D82" s="1651"/>
    </row>
    <row r="83" spans="1:7" ht="18.75">
      <c r="A83" s="1647" t="s">
        <v>640</v>
      </c>
      <c r="B83" s="1651"/>
      <c r="C83" s="1651"/>
      <c r="D83" s="1651"/>
    </row>
    <row r="84" spans="1:7" ht="18.75">
      <c r="A84" s="1647" t="s">
        <v>938</v>
      </c>
      <c r="B84" s="1651"/>
      <c r="C84" s="1651"/>
      <c r="D84" s="1651"/>
    </row>
    <row r="85" spans="1:7" ht="38.1" customHeight="1">
      <c r="A85" s="1651" t="s">
        <v>1032</v>
      </c>
      <c r="B85" s="1651"/>
      <c r="C85" s="1651"/>
      <c r="D85" s="1651"/>
    </row>
    <row r="86" spans="1:7" ht="18.75">
      <c r="A86" s="1647" t="s">
        <v>641</v>
      </c>
      <c r="B86" s="1651"/>
      <c r="C86" s="1651"/>
      <c r="D86" s="1651"/>
    </row>
    <row r="87" spans="1:7" ht="18.75">
      <c r="A87" s="1652" t="s">
        <v>592</v>
      </c>
      <c r="B87" s="1652"/>
      <c r="C87" s="1652"/>
      <c r="D87" s="1652"/>
      <c r="E87" s="777"/>
      <c r="F87" s="777"/>
      <c r="G87" s="777"/>
    </row>
    <row r="88" spans="1:7" ht="18.75">
      <c r="A88" s="869" t="s">
        <v>642</v>
      </c>
      <c r="B88" s="798">
        <f>التوصية!$D$1</f>
        <v>0</v>
      </c>
      <c r="C88" s="869" t="s">
        <v>643</v>
      </c>
      <c r="D88" s="869" t="str">
        <f>التوصية!$B$1</f>
        <v>A ? - 1 - 1900</v>
      </c>
      <c r="E88" s="778"/>
      <c r="G88" s="778"/>
    </row>
    <row r="89" spans="1:7" ht="18.75">
      <c r="A89" s="1654">
        <v>5</v>
      </c>
      <c r="B89" s="1655"/>
      <c r="C89" s="1655"/>
      <c r="D89" s="1656"/>
      <c r="F89" s="773"/>
      <c r="G89" s="773"/>
    </row>
    <row r="90" spans="1:7" ht="18.75">
      <c r="A90" s="802" t="s">
        <v>588</v>
      </c>
      <c r="B90" s="1653" t="str">
        <f>'مدخلات العقود'!$F$12</f>
        <v/>
      </c>
      <c r="C90" s="1653"/>
      <c r="D90" s="1653"/>
      <c r="E90" s="773"/>
      <c r="F90" s="773"/>
      <c r="G90" s="773"/>
    </row>
    <row r="91" spans="1:7" ht="18.75">
      <c r="A91" s="802" t="s">
        <v>917</v>
      </c>
      <c r="B91" s="1653" t="str">
        <f>'مدخلات العقود'!$J$12</f>
        <v/>
      </c>
      <c r="C91" s="1653"/>
      <c r="D91" s="1653"/>
      <c r="F91" s="773"/>
      <c r="G91" s="773"/>
    </row>
    <row r="92" spans="1:7" ht="18.75">
      <c r="A92" s="802" t="s">
        <v>589</v>
      </c>
      <c r="B92" s="1653">
        <f>'مدخلات العقود'!$H$12</f>
        <v>2015</v>
      </c>
      <c r="C92" s="1653"/>
      <c r="D92" s="1653"/>
      <c r="F92" s="773"/>
      <c r="G92" s="773"/>
    </row>
    <row r="93" spans="1:7" ht="18.75">
      <c r="A93" s="802" t="s">
        <v>939</v>
      </c>
      <c r="B93" s="1653" t="str">
        <f>'مدخلات العقود'!$L$12</f>
        <v/>
      </c>
      <c r="C93" s="1653"/>
      <c r="D93" s="1653"/>
      <c r="F93" s="773"/>
      <c r="G93" s="773"/>
    </row>
    <row r="94" spans="1:7" ht="38.1" customHeight="1">
      <c r="A94" s="803" t="str">
        <f>"6.1 المورد للعين: "&amp;'مدخلات العقود'!$B$9</f>
        <v>6.1 المورد للعين: 0</v>
      </c>
      <c r="B94" s="1654" t="str">
        <f>"6.2 ورقم تسجيل/ حامل هوية رقم "&amp; 'مدخلات العقود'!$D$9&amp;"، الصادرة في "&amp;'مدخلات العقود'!$F$9&amp;"، بتاريخ "&amp;TEXT('مدخلات العقود'!$H$9,"dd/mm/yyyy")&amp;"، وعنوانة لغايات التبليغ "&amp;'مدخلات العقود'!$J$9&amp;"، ورقم هاتفه "&amp;'مدخلات العقود'!$L$9</f>
        <v>6.2 ورقم تسجيل/ حامل هوية رقم 0، الصادرة في ، بتاريخ 00/01/1900، وعنوانة لغايات التبليغ رام الله، ورقم هاتفه 0</v>
      </c>
      <c r="C94" s="1655"/>
      <c r="D94" s="1656"/>
      <c r="F94" s="773"/>
      <c r="G94" s="773"/>
    </row>
    <row r="95" spans="1:7" ht="18.75">
      <c r="A95" s="1650" t="str">
        <f>"7. مدة الاجارة: "&amp;'مدخلات العقود'!$B$14</f>
        <v>7. مدة الاجارة: 48 شهر</v>
      </c>
      <c r="B95" s="1650"/>
      <c r="C95" s="1650" t="str">
        <f>"8.غايات استعمال العين: "&amp;'مدخلات العقود'!$B$18</f>
        <v xml:space="preserve">8.غايات استعمال العين: </v>
      </c>
      <c r="D95" s="1650"/>
      <c r="E95" s="778"/>
      <c r="F95" s="778"/>
      <c r="G95" s="778"/>
    </row>
    <row r="96" spans="1:7" ht="18.75" customHeight="1">
      <c r="A96" s="1650" t="str">
        <f>"9.1 المبلغ الاجمالي شامل الضريبة للسداد: "&amp;TEXT('جدول السداد'!$O$35,"0,0")&amp;" "&amp;IF(FC=USD,USD,IF(FC=ILS,ILS,IF(FC=EUR,EUR)))</f>
        <v>9.1 المبلغ الاجمالي شامل الضريبة للسداد: 9,600 دولار</v>
      </c>
      <c r="B96" s="1650"/>
      <c r="C96" s="1650" t="str">
        <f>"9.2 عدد الدفعات الشهرية: "&amp;'مدخلات العقود'!$B$15</f>
        <v>9.2 عدد الدفعات الشهرية: 48 شهر</v>
      </c>
      <c r="D96" s="1650"/>
      <c r="E96" s="778"/>
      <c r="F96" s="778"/>
    </row>
    <row r="97" spans="1:7" ht="18.75">
      <c r="A97" s="1650" t="str">
        <f>"10. مبلغ الدفعة المقدمة شاملة (ض.ق.م): "&amp;'مدخلات العقود'!$B$17</f>
        <v>10. مبلغ الدفعة المقدمة شاملة (ض.ق.م): -7,343 دولار</v>
      </c>
      <c r="B97" s="1650"/>
      <c r="C97" s="1650"/>
      <c r="D97" s="1650"/>
      <c r="E97" s="778"/>
      <c r="F97" s="778"/>
      <c r="G97" s="778"/>
    </row>
    <row r="98" spans="1:7" ht="18.75">
      <c r="A98" s="1650" t="s">
        <v>940</v>
      </c>
      <c r="B98" s="1650"/>
      <c r="C98" s="1650"/>
      <c r="D98" s="1650"/>
      <c r="E98" s="778"/>
      <c r="F98" s="778"/>
      <c r="G98" s="778"/>
    </row>
    <row r="99" spans="1:7" ht="18.75">
      <c r="A99" s="869" t="s">
        <v>644</v>
      </c>
      <c r="B99" s="804" t="str">
        <f>'مدخلات العقود'!$D$16</f>
        <v>/5/2021</v>
      </c>
      <c r="C99" s="869" t="s">
        <v>645</v>
      </c>
      <c r="D99" s="804" t="str">
        <f>'مدخلات العقود'!$D$17</f>
        <v>0/4/2025</v>
      </c>
      <c r="F99" s="778"/>
    </row>
    <row r="100" spans="1:7" ht="9.9499999999999993" customHeight="1">
      <c r="A100" s="805"/>
      <c r="B100" s="796"/>
      <c r="C100" s="796"/>
      <c r="D100" s="796"/>
    </row>
    <row r="101" spans="1:7" ht="18.75">
      <c r="A101" s="1647" t="s">
        <v>941</v>
      </c>
      <c r="B101" s="1647"/>
      <c r="C101" s="1647"/>
      <c r="D101" s="1647"/>
    </row>
    <row r="102" spans="1:7" ht="18.75">
      <c r="A102" s="1647" t="s">
        <v>1020</v>
      </c>
      <c r="B102" s="1647"/>
      <c r="C102" s="1647"/>
      <c r="D102" s="1647"/>
    </row>
    <row r="103" spans="1:7" ht="132" customHeight="1">
      <c r="A103" s="1651" t="s">
        <v>1012</v>
      </c>
      <c r="B103" s="1651"/>
      <c r="C103" s="1651"/>
      <c r="D103" s="1651"/>
    </row>
    <row r="104" spans="1:7" ht="18.75">
      <c r="A104" s="1647" t="s">
        <v>1021</v>
      </c>
      <c r="B104" s="1647"/>
      <c r="C104" s="1647"/>
      <c r="D104" s="1647"/>
    </row>
    <row r="105" spans="1:7" ht="18.75">
      <c r="A105" s="1651" t="s">
        <v>1022</v>
      </c>
      <c r="B105" s="1657"/>
      <c r="C105" s="1657"/>
      <c r="D105" s="1657"/>
    </row>
    <row r="106" spans="1:7" ht="60" customHeight="1">
      <c r="A106" s="1651" t="s">
        <v>1014</v>
      </c>
      <c r="B106" s="1657"/>
      <c r="C106" s="1657"/>
      <c r="D106" s="1657"/>
    </row>
    <row r="107" spans="1:7" ht="38.1" customHeight="1">
      <c r="A107" s="1651" t="s">
        <v>991</v>
      </c>
      <c r="B107" s="1657"/>
      <c r="C107" s="1657"/>
      <c r="D107" s="1657"/>
    </row>
    <row r="108" spans="1:7" ht="38.1" customHeight="1">
      <c r="A108" s="1651" t="s">
        <v>992</v>
      </c>
      <c r="B108" s="1657"/>
      <c r="C108" s="1657"/>
      <c r="D108" s="1657"/>
    </row>
    <row r="109" spans="1:7" ht="38.1" customHeight="1">
      <c r="A109" s="1651" t="s">
        <v>993</v>
      </c>
      <c r="B109" s="1657"/>
      <c r="C109" s="1657"/>
      <c r="D109" s="1657"/>
    </row>
    <row r="110" spans="1:7" ht="93.95" customHeight="1">
      <c r="A110" s="1651" t="s">
        <v>994</v>
      </c>
      <c r="B110" s="1657"/>
      <c r="C110" s="1657"/>
      <c r="D110" s="1657"/>
    </row>
    <row r="111" spans="1:7" ht="93.95" customHeight="1">
      <c r="A111" s="1651" t="s">
        <v>995</v>
      </c>
      <c r="B111" s="1657"/>
      <c r="C111" s="1657"/>
      <c r="D111" s="1657"/>
    </row>
    <row r="112" spans="1:7" ht="75" customHeight="1">
      <c r="A112" s="1651" t="s">
        <v>996</v>
      </c>
      <c r="B112" s="1657"/>
      <c r="C112" s="1657"/>
      <c r="D112" s="1657"/>
    </row>
    <row r="113" spans="1:4" ht="18.75">
      <c r="A113" s="1651" t="s">
        <v>997</v>
      </c>
      <c r="B113" s="1657"/>
      <c r="C113" s="1657"/>
      <c r="D113" s="1657"/>
    </row>
    <row r="114" spans="1:4" ht="75" customHeight="1">
      <c r="A114" s="1651" t="s">
        <v>998</v>
      </c>
      <c r="B114" s="1657"/>
      <c r="C114" s="1657"/>
      <c r="D114" s="1657"/>
    </row>
    <row r="115" spans="1:4" ht="18.75">
      <c r="A115" s="1647" t="s">
        <v>1023</v>
      </c>
      <c r="B115" s="1657"/>
      <c r="C115" s="1657"/>
      <c r="D115" s="1657"/>
    </row>
    <row r="116" spans="1:4" ht="18.75">
      <c r="A116" s="1647" t="s">
        <v>1024</v>
      </c>
      <c r="B116" s="1657"/>
      <c r="C116" s="1657"/>
      <c r="D116" s="1657"/>
    </row>
    <row r="117" spans="1:4" ht="93.95" customHeight="1">
      <c r="A117" s="1651" t="s">
        <v>646</v>
      </c>
      <c r="B117" s="1657"/>
      <c r="C117" s="1657"/>
      <c r="D117" s="1657"/>
    </row>
    <row r="118" spans="1:4" ht="18.75">
      <c r="A118" s="1651" t="s">
        <v>1027</v>
      </c>
      <c r="B118" s="1657"/>
      <c r="C118" s="1657"/>
      <c r="D118" s="1657"/>
    </row>
    <row r="119" spans="1:4" ht="18.75">
      <c r="A119" s="1651" t="s">
        <v>647</v>
      </c>
      <c r="B119" s="1657"/>
      <c r="C119" s="1657"/>
      <c r="D119" s="1657"/>
    </row>
    <row r="120" spans="1:4" ht="39.950000000000003" customHeight="1">
      <c r="A120" s="1651" t="s">
        <v>1033</v>
      </c>
      <c r="B120" s="1657"/>
      <c r="C120" s="1657"/>
      <c r="D120" s="1657"/>
    </row>
    <row r="121" spans="1:4" ht="38.1" customHeight="1">
      <c r="A121" s="1659" t="s">
        <v>648</v>
      </c>
      <c r="B121" s="1660"/>
      <c r="C121" s="1660"/>
      <c r="D121" s="1660"/>
    </row>
    <row r="122" spans="1:4" ht="18.75">
      <c r="A122" s="1647" t="s">
        <v>1025</v>
      </c>
      <c r="B122" s="1657"/>
      <c r="C122" s="1657"/>
      <c r="D122" s="1657"/>
    </row>
    <row r="123" spans="1:4" ht="38.1" customHeight="1">
      <c r="A123" s="1651" t="s">
        <v>649</v>
      </c>
      <c r="B123" s="1651"/>
      <c r="C123" s="1651"/>
      <c r="D123" s="1651"/>
    </row>
    <row r="124" spans="1:4" ht="18.75">
      <c r="A124" s="1651" t="s">
        <v>999</v>
      </c>
      <c r="B124" s="1657"/>
      <c r="C124" s="1657"/>
      <c r="D124" s="1657"/>
    </row>
    <row r="125" spans="1:4" ht="38.1" customHeight="1">
      <c r="A125" s="1651" t="s">
        <v>650</v>
      </c>
      <c r="B125" s="1657"/>
      <c r="C125" s="1657"/>
      <c r="D125" s="1657"/>
    </row>
    <row r="126" spans="1:4" ht="38.1" customHeight="1">
      <c r="A126" s="1651" t="s">
        <v>1017</v>
      </c>
      <c r="B126" s="1657"/>
      <c r="C126" s="1657"/>
      <c r="D126" s="1657"/>
    </row>
    <row r="127" spans="1:4" ht="38.1" customHeight="1">
      <c r="A127" s="1651" t="s">
        <v>1000</v>
      </c>
      <c r="B127" s="1657"/>
      <c r="C127" s="1657"/>
      <c r="D127" s="1657"/>
    </row>
    <row r="128" spans="1:4" ht="18.75">
      <c r="A128" s="1647" t="s">
        <v>1026</v>
      </c>
      <c r="B128" s="1657"/>
      <c r="C128" s="1657"/>
      <c r="D128" s="1657"/>
    </row>
    <row r="129" spans="1:4" ht="18.75">
      <c r="A129" s="1651" t="s">
        <v>1028</v>
      </c>
      <c r="B129" s="1657"/>
      <c r="C129" s="1657"/>
      <c r="D129" s="1657"/>
    </row>
    <row r="130" spans="1:4" ht="18.75">
      <c r="A130" s="1651" t="s">
        <v>1029</v>
      </c>
      <c r="B130" s="1657"/>
      <c r="C130" s="1657"/>
      <c r="D130" s="1657"/>
    </row>
    <row r="131" spans="1:4" ht="38.1" customHeight="1">
      <c r="A131" s="1651" t="s">
        <v>1030</v>
      </c>
      <c r="B131" s="1657"/>
      <c r="C131" s="1657"/>
      <c r="D131" s="1657"/>
    </row>
    <row r="132" spans="1:4" ht="18.75">
      <c r="A132" s="1651" t="s">
        <v>1031</v>
      </c>
      <c r="B132" s="1657"/>
      <c r="C132" s="1657"/>
      <c r="D132" s="1657"/>
    </row>
    <row r="133" spans="1:4" ht="38.1" customHeight="1">
      <c r="A133" s="1651" t="s">
        <v>1016</v>
      </c>
      <c r="B133" s="1657"/>
      <c r="C133" s="1657"/>
      <c r="D133" s="1657"/>
    </row>
    <row r="134" spans="1:4" ht="38.1" customHeight="1">
      <c r="A134" s="1651" t="s">
        <v>1015</v>
      </c>
      <c r="B134" s="1657"/>
      <c r="C134" s="1657"/>
      <c r="D134" s="1657"/>
    </row>
    <row r="135" spans="1:4" ht="24.95" customHeight="1">
      <c r="A135" s="1572" t="s">
        <v>1001</v>
      </c>
      <c r="B135" s="1572"/>
      <c r="C135" s="1572"/>
      <c r="D135" s="1572"/>
    </row>
    <row r="136" spans="1:4" ht="15.75">
      <c r="A136" s="868" t="str">
        <f>"التاريخ: "&amp;TEXT('مدخلات العقود'!$J$15,"dd/mm/yyyy")</f>
        <v>التاريخ: 00/01/1900</v>
      </c>
      <c r="B136" s="871" t="str">
        <f>"الرقم: "&amp;'مدخلات العقود'!$J$14</f>
        <v xml:space="preserve">الرقم: </v>
      </c>
      <c r="C136" s="1646" t="s">
        <v>1035</v>
      </c>
      <c r="D136" s="1646"/>
    </row>
    <row r="137" spans="1:4" ht="32.1" customHeight="1">
      <c r="A137" s="1620" t="s">
        <v>1079</v>
      </c>
      <c r="B137" s="1620"/>
      <c r="C137" s="1620"/>
      <c r="D137" s="1620"/>
    </row>
    <row r="138" spans="1:4" ht="15.75">
      <c r="A138" s="1661" t="s">
        <v>651</v>
      </c>
      <c r="B138" s="1661"/>
      <c r="C138" s="1661"/>
      <c r="D138" s="1661"/>
    </row>
    <row r="139" spans="1:4" ht="32.1" customHeight="1">
      <c r="A139" s="1631" t="str">
        <f>"السيد/ السيدة: "&amp;'مدخلات العقود'!$B$2&amp;"، حامل هوية رقم: "&amp;'مدخلات العقود'!$D$2&amp;"، والصادرة في: "&amp;'مدخلات العقود'!$F$2&amp;"، بتاريخ: "&amp;TEXT('مدخلات العقود'!$H$2,"dd/mm/yyyy")&amp;"، وعنوانة لغايات التبليغ: "&amp;'مدخلات العقود'!$J$2&amp;"، ورقم هاتفه: "&amp;'مدخلات العقود'!$L$2</f>
        <v>السيد/ السيدة: 0، حامل هوية رقم: 0، والصادرة في: ، بتاريخ: 00/01/1900، وعنوانة لغايات التبليغ:  -  -  - ، ورقم هاتفه: 0</v>
      </c>
      <c r="B139" s="1641"/>
      <c r="C139" s="1641"/>
      <c r="D139" s="1641"/>
    </row>
    <row r="140" spans="1:4" ht="15.75">
      <c r="A140" s="1620"/>
      <c r="B140" s="1621"/>
      <c r="C140" s="1621"/>
      <c r="D140" s="1621"/>
    </row>
    <row r="141" spans="1:4" ht="15.75">
      <c r="A141" s="1642" t="s">
        <v>652</v>
      </c>
      <c r="B141" s="1643"/>
      <c r="C141" s="1644"/>
      <c r="D141" s="1644"/>
    </row>
    <row r="142" spans="1:4" ht="35.1" customHeight="1">
      <c r="A142" s="806" t="s">
        <v>635</v>
      </c>
      <c r="B142" s="1631" t="str">
        <f>"السيد/ السيدة: "&amp;'مدخلات العقود'!$B$4&amp;"، حامل هوية رقم: "&amp;'مدخلات العقود'!$D$4&amp;"، والصادرة في "&amp;'مدخلات العقود'!$F$4&amp;"، بتاريخ "&amp;TEXT('مدخلات العقود'!$H$4,"dd/mm/yyyy")&amp;"، وعنوانه لغايات التبليغ "&amp;'مدخلات العقود'!$J$4&amp;"، ورقم هاتفه"&amp;'مدخلات العقود'!$L$4</f>
        <v>السيد/ السيدة: لا يوجد، حامل هوية رقم: لا يوجد، والصادرة في ، بتاريخ 00/01/1900، وعنوانه لغايات التبليغ لا يوجد، ورقم هاتفه لا يوجد</v>
      </c>
      <c r="C142" s="1631"/>
      <c r="D142" s="1631"/>
    </row>
    <row r="143" spans="1:4" ht="35.1" customHeight="1">
      <c r="A143" s="806" t="s">
        <v>636</v>
      </c>
      <c r="B143" s="1631" t="str">
        <f>"السيد/ السيدة: "&amp;'مدخلات العقود'!$B$5&amp;"، حامل هوية رقم: "&amp;'مدخلات العقود'!$D$5&amp;"، والصادرة في "&amp;'مدخلات العقود'!$F$5&amp;"، بتاريخ "&amp;TEXT('مدخلات العقود'!$H$5,"dd/mm/yyyy")&amp;"، وعنوانه لغايات التبليغ "&amp;'مدخلات العقود'!$J$5&amp;"، ورقم هاتفه"&amp;'مدخلات العقود'!$L$5</f>
        <v>السيد/ السيدة: لا يوجد، حامل هوية رقم: لا يوجد، والصادرة في ، بتاريخ 00/01/1900، وعنوانه لغايات التبليغ لا يوجد، ورقم هاتفه لا يوجد</v>
      </c>
      <c r="C143" s="1631"/>
      <c r="D143" s="1631"/>
    </row>
    <row r="144" spans="1:4" ht="35.1" customHeight="1">
      <c r="A144" s="806" t="s">
        <v>637</v>
      </c>
      <c r="B144" s="1631" t="str">
        <f>"السيد/ السيدة: "&amp;'مدخلات العقود'!$B$6&amp;"، حامل هوية رقم: "&amp;'مدخلات العقود'!$D$6&amp;"، والصادرة في "&amp;'مدخلات العقود'!$F$6&amp;"، بتاريخ "&amp;TEXT('مدخلات العقود'!$H$6,"dd/mm/yyyy")&amp;"، وعنوانه لغايات التبليغ "&amp;'مدخلات العقود'!$J$6&amp;"، ورقم هاتفه"&amp;'مدخلات العقود'!$L$6</f>
        <v>السيد/ السيدة: لا يوجد، حامل هوية رقم: لا يوجد، والصادرة في ، بتاريخ 00/01/1900، وعنوانه لغايات التبليغ لا يوجد، ورقم هاتفه لا يوجد</v>
      </c>
      <c r="C144" s="1631"/>
      <c r="D144" s="1631"/>
    </row>
    <row r="145" spans="1:7" ht="35.1" customHeight="1">
      <c r="A145" s="806" t="s">
        <v>638</v>
      </c>
      <c r="B145" s="1631" t="str">
        <f>"السيد/ السيدة: "&amp;'مدخلات العقود'!$B$7&amp;"، حامل هوية رقم: "&amp;'مدخلات العقود'!$D$7&amp;"، والصادرة في "&amp;'مدخلات العقود'!$F$7&amp;"، بتاريخ "&amp;TEXT('مدخلات العقود'!$H$7,"dd/mm/yyyy")&amp;"، وعنوانه لغايات التبليغ "&amp;'مدخلات العقود'!$J$7&amp;"، ورقم هاتفه"&amp;'مدخلات العقود'!$L$7</f>
        <v>السيد/ السيدة: لا يوجد، حامل هوية رقم: لا يوجد، والصادرة في ، بتاريخ 00/01/1900، وعنوانه لغايات التبليغ لا يوجد، ورقم هاتفه لا يوجد</v>
      </c>
      <c r="C145" s="1631"/>
      <c r="D145" s="1631"/>
    </row>
    <row r="146" spans="1:7" ht="15.75">
      <c r="A146" s="1619" t="s">
        <v>1113</v>
      </c>
      <c r="B146" s="1619"/>
      <c r="C146" s="1619"/>
      <c r="D146" s="1619"/>
    </row>
    <row r="147" spans="1:7" ht="63" customHeight="1">
      <c r="A147" s="1619" t="s">
        <v>1112</v>
      </c>
      <c r="B147" s="1619"/>
      <c r="C147" s="1619"/>
      <c r="D147" s="1619"/>
    </row>
    <row r="148" spans="1:7" ht="15.75">
      <c r="A148" s="1620" t="s">
        <v>1080</v>
      </c>
      <c r="B148" s="1620"/>
      <c r="C148" s="1620"/>
      <c r="D148" s="1620"/>
    </row>
    <row r="149" spans="1:7" ht="15.75">
      <c r="A149" s="1620" t="s">
        <v>942</v>
      </c>
      <c r="B149" s="1620"/>
      <c r="C149" s="1620"/>
      <c r="D149" s="1620"/>
    </row>
    <row r="150" spans="1:7" ht="15.75">
      <c r="A150" s="1619" t="s">
        <v>943</v>
      </c>
      <c r="B150" s="1619"/>
      <c r="C150" s="1619"/>
      <c r="D150" s="1619"/>
    </row>
    <row r="151" spans="1:7" ht="32.1" customHeight="1">
      <c r="A151" s="1619" t="s">
        <v>653</v>
      </c>
      <c r="B151" s="1619"/>
      <c r="C151" s="1619"/>
      <c r="D151" s="1619"/>
    </row>
    <row r="152" spans="1:7" ht="32.1" customHeight="1">
      <c r="A152" s="1619" t="s">
        <v>1213</v>
      </c>
      <c r="B152" s="1619"/>
      <c r="C152" s="1619"/>
      <c r="D152" s="1619"/>
      <c r="F152" s="1622" t="s">
        <v>1705</v>
      </c>
    </row>
    <row r="153" spans="1:7" ht="15.75">
      <c r="A153" s="1620" t="s">
        <v>654</v>
      </c>
      <c r="B153" s="1620"/>
      <c r="C153" s="1620"/>
      <c r="D153" s="1620"/>
      <c r="F153" s="1622"/>
    </row>
    <row r="154" spans="1:7" ht="15.75">
      <c r="A154" s="1628" t="s">
        <v>655</v>
      </c>
      <c r="B154" s="1628"/>
      <c r="C154" s="1628"/>
      <c r="D154" s="1628"/>
      <c r="E154" s="777"/>
      <c r="F154" s="1622"/>
      <c r="G154" s="777"/>
    </row>
    <row r="155" spans="1:7" ht="15.75">
      <c r="A155" s="813" t="s">
        <v>588</v>
      </c>
      <c r="B155" s="1627" t="str">
        <f>'مدخلات العقود'!$F$12</f>
        <v/>
      </c>
      <c r="C155" s="1627"/>
      <c r="D155" s="1627"/>
      <c r="F155" s="1622"/>
      <c r="G155" s="773"/>
    </row>
    <row r="156" spans="1:7" ht="15.75">
      <c r="A156" s="813" t="s">
        <v>917</v>
      </c>
      <c r="B156" s="1627" t="str">
        <f>'مدخلات العقود'!$J$12</f>
        <v/>
      </c>
      <c r="C156" s="1627"/>
      <c r="D156" s="1627"/>
      <c r="F156" s="1622"/>
      <c r="G156" s="773"/>
    </row>
    <row r="157" spans="1:7" ht="15.75">
      <c r="A157" s="813" t="s">
        <v>589</v>
      </c>
      <c r="B157" s="1627">
        <f>'مدخلات العقود'!$H$12</f>
        <v>2015</v>
      </c>
      <c r="C157" s="1627"/>
      <c r="D157" s="1627"/>
      <c r="F157" s="1622"/>
      <c r="G157" s="773"/>
    </row>
    <row r="158" spans="1:7" ht="15.75">
      <c r="A158" s="813" t="s">
        <v>1214</v>
      </c>
      <c r="B158" s="1627" t="str">
        <f>'مدخلات العقود'!$L$12</f>
        <v/>
      </c>
      <c r="C158" s="1627"/>
      <c r="D158" s="1627"/>
      <c r="F158" s="1622"/>
      <c r="G158" s="773"/>
    </row>
    <row r="159" spans="1:7" ht="39.950000000000003" customHeight="1">
      <c r="A159" s="933" t="str">
        <f>"6.1 المورد للعين: "&amp;'مدخلات العقود'!$B$9</f>
        <v>6.1 المورد للعين: 0</v>
      </c>
      <c r="B159" s="1634" t="str">
        <f>"6.2 ورقم تسجيل/ حامل هوية رقم "&amp; 'مدخلات العقود'!$D$9&amp;"، الصادرة في "&amp;'مدخلات العقود'!$F$9&amp;"، بتاريخ "&amp;TEXT('مدخلات العقود'!$H$9,"dd/mm/yyyy")&amp;"، وعنوانة لغايات التبليغ "&amp;'مدخلات العقود'!$J$9&amp;"، ورقم هاتفه "&amp;'مدخلات العقود'!$L$9</f>
        <v>6.2 ورقم تسجيل/ حامل هوية رقم 0، الصادرة في ، بتاريخ 00/01/1900، وعنوانة لغايات التبليغ رام الله، ورقم هاتفه 0</v>
      </c>
      <c r="C159" s="1634"/>
      <c r="D159" s="1634"/>
      <c r="F159" s="1622"/>
      <c r="G159" s="783"/>
    </row>
    <row r="160" spans="1:7" ht="15.75" customHeight="1">
      <c r="A160" s="1631" t="str">
        <f>"7. مدة الاجارة: "&amp;'مدخلات العقود'!$B$14</f>
        <v>7. مدة الاجارة: 48 شهر</v>
      </c>
      <c r="B160" s="1631"/>
      <c r="C160" s="1631" t="str">
        <f>"8.غايات استعمال العين: "&amp;'مدخلات العقود'!$B$18</f>
        <v xml:space="preserve">8.غايات استعمال العين: </v>
      </c>
      <c r="D160" s="1631"/>
      <c r="E160" s="782"/>
      <c r="F160" s="1623" t="s">
        <v>1706</v>
      </c>
      <c r="G160" s="783"/>
    </row>
    <row r="161" spans="1:7" ht="15.75" customHeight="1">
      <c r="A161" s="1631" t="str">
        <f>"9.1 المبلغ الاجمالي شامل الضريبة للسداد: "&amp;TEXT('جدول السداد'!$O$35,"0,0")&amp;" "&amp;IF(FC=USD,USD,IF(FC=ILS,ILS,IF(FC=EUR,EUR)))</f>
        <v>9.1 المبلغ الاجمالي شامل الضريبة للسداد: 9,600 دولار</v>
      </c>
      <c r="B161" s="1631"/>
      <c r="C161" s="1631" t="str">
        <f>"9.2 عدد الدفعات الشهرية: "&amp;'مدخلات العقود'!$B$15</f>
        <v>9.2 عدد الدفعات الشهرية: 48 شهر</v>
      </c>
      <c r="D161" s="1631"/>
      <c r="E161" s="782"/>
      <c r="F161" s="1623"/>
      <c r="G161" s="783"/>
    </row>
    <row r="162" spans="1:7" ht="15.75">
      <c r="A162" s="1631" t="str">
        <f>"10. مبلغ الدفعة المقدمة شاملة (ض.ق.م): "&amp;'مدخلات العقود'!$B$17</f>
        <v>10. مبلغ الدفعة المقدمة شاملة (ض.ق.م): -7,343 دولار</v>
      </c>
      <c r="B162" s="1631"/>
      <c r="C162" s="1631"/>
      <c r="D162" s="1631"/>
      <c r="E162" s="782"/>
      <c r="F162" s="1623"/>
      <c r="G162" s="784"/>
    </row>
    <row r="163" spans="1:7" ht="15.75">
      <c r="A163" s="1631" t="s">
        <v>940</v>
      </c>
      <c r="B163" s="1631"/>
      <c r="C163" s="1631"/>
      <c r="D163" s="1631"/>
      <c r="E163" s="782"/>
      <c r="F163" s="1623"/>
      <c r="G163" s="782"/>
    </row>
    <row r="164" spans="1:7" ht="15.75">
      <c r="A164" s="933" t="s">
        <v>644</v>
      </c>
      <c r="B164" s="807" t="str">
        <f>'مدخلات العقود'!$D$16</f>
        <v>/5/2021</v>
      </c>
      <c r="C164" s="933" t="s">
        <v>645</v>
      </c>
      <c r="D164" s="807" t="str">
        <f>'مدخلات العقود'!$D$17</f>
        <v>0/4/2025</v>
      </c>
      <c r="E164" s="782"/>
      <c r="F164" s="1623"/>
      <c r="G164" s="782"/>
    </row>
    <row r="165" spans="1:7" ht="15.75">
      <c r="A165" s="1620" t="s">
        <v>656</v>
      </c>
      <c r="B165" s="1620"/>
      <c r="C165" s="1620"/>
      <c r="D165" s="1620"/>
      <c r="F165" s="1623"/>
    </row>
    <row r="166" spans="1:7" ht="15.75">
      <c r="A166" s="1619" t="s">
        <v>944</v>
      </c>
      <c r="B166" s="1621"/>
      <c r="C166" s="1621"/>
      <c r="D166" s="1621"/>
      <c r="F166" s="1623"/>
    </row>
    <row r="167" spans="1:7" ht="15.75">
      <c r="A167" s="1619" t="s">
        <v>657</v>
      </c>
      <c r="B167" s="1619"/>
      <c r="C167" s="1619"/>
      <c r="D167" s="1619"/>
      <c r="F167" s="1623"/>
    </row>
    <row r="168" spans="1:7" ht="15.75">
      <c r="A168" s="1619" t="s">
        <v>658</v>
      </c>
      <c r="B168" s="1619"/>
      <c r="C168" s="1619"/>
      <c r="D168" s="1619"/>
    </row>
    <row r="169" spans="1:7" ht="15.75">
      <c r="A169" s="1619" t="s">
        <v>659</v>
      </c>
      <c r="B169" s="1619"/>
      <c r="C169" s="1619"/>
      <c r="D169" s="1619"/>
    </row>
    <row r="170" spans="1:7" ht="15.75">
      <c r="A170" s="1619" t="s">
        <v>660</v>
      </c>
      <c r="B170" s="1621"/>
      <c r="C170" s="1621"/>
      <c r="D170" s="1621"/>
    </row>
    <row r="171" spans="1:7" ht="15.75">
      <c r="A171" s="1619" t="s">
        <v>1044</v>
      </c>
      <c r="B171" s="1621"/>
      <c r="C171" s="1621"/>
      <c r="D171" s="1621"/>
    </row>
    <row r="172" spans="1:7" ht="32.1" customHeight="1">
      <c r="A172" s="1619" t="s">
        <v>1045</v>
      </c>
      <c r="B172" s="1621"/>
      <c r="C172" s="1621"/>
      <c r="D172" s="1621"/>
    </row>
    <row r="173" spans="1:7" ht="32.1" customHeight="1">
      <c r="A173" s="1619" t="s">
        <v>1038</v>
      </c>
      <c r="B173" s="1621"/>
      <c r="C173" s="1621"/>
      <c r="D173" s="1621"/>
    </row>
    <row r="174" spans="1:7" ht="15.75">
      <c r="A174" s="1619" t="s">
        <v>1036</v>
      </c>
      <c r="B174" s="1621"/>
      <c r="C174" s="1621"/>
      <c r="D174" s="1621"/>
    </row>
    <row r="175" spans="1:7" ht="15.75">
      <c r="A175" s="1619" t="s">
        <v>1037</v>
      </c>
      <c r="B175" s="1621"/>
      <c r="C175" s="1621"/>
      <c r="D175" s="1621"/>
    </row>
    <row r="176" spans="1:7" ht="15.75">
      <c r="A176" s="1619" t="s">
        <v>661</v>
      </c>
      <c r="B176" s="1621"/>
      <c r="C176" s="1621"/>
      <c r="D176" s="1621"/>
    </row>
    <row r="177" spans="1:4" ht="15.75">
      <c r="A177" s="1619" t="s">
        <v>662</v>
      </c>
      <c r="B177" s="1621"/>
      <c r="C177" s="1621"/>
      <c r="D177" s="1621"/>
    </row>
    <row r="178" spans="1:4" ht="15.75">
      <c r="A178" s="1619" t="s">
        <v>945</v>
      </c>
      <c r="B178" s="1621"/>
      <c r="C178" s="1621"/>
      <c r="D178" s="1621"/>
    </row>
    <row r="179" spans="1:4" ht="15.75">
      <c r="A179" s="1619" t="s">
        <v>1039</v>
      </c>
      <c r="B179" s="1619"/>
      <c r="C179" s="1619"/>
      <c r="D179" s="1619"/>
    </row>
    <row r="180" spans="1:4" ht="15.75">
      <c r="A180" s="1620" t="s">
        <v>1081</v>
      </c>
      <c r="B180" s="1620"/>
      <c r="C180" s="1620"/>
      <c r="D180" s="1620"/>
    </row>
    <row r="181" spans="1:4" ht="15.75">
      <c r="A181" s="1619" t="s">
        <v>663</v>
      </c>
      <c r="B181" s="1619"/>
      <c r="C181" s="1619"/>
      <c r="D181" s="1619"/>
    </row>
    <row r="182" spans="1:4" ht="15.75">
      <c r="A182" s="1619" t="s">
        <v>1002</v>
      </c>
      <c r="B182" s="1619"/>
      <c r="C182" s="1619"/>
      <c r="D182" s="1619"/>
    </row>
    <row r="183" spans="1:4" ht="32.1" customHeight="1">
      <c r="A183" s="1619" t="s">
        <v>664</v>
      </c>
      <c r="B183" s="1619"/>
      <c r="C183" s="1619"/>
      <c r="D183" s="1619"/>
    </row>
    <row r="184" spans="1:4" ht="15.75">
      <c r="A184" s="1619" t="s">
        <v>665</v>
      </c>
      <c r="B184" s="1619"/>
      <c r="C184" s="1619"/>
      <c r="D184" s="1619"/>
    </row>
    <row r="185" spans="1:4" ht="15.75">
      <c r="A185" s="1619" t="s">
        <v>666</v>
      </c>
      <c r="B185" s="1619"/>
      <c r="C185" s="1619"/>
      <c r="D185" s="1619"/>
    </row>
    <row r="186" spans="1:4" ht="15.75">
      <c r="A186" s="1619" t="s">
        <v>1040</v>
      </c>
      <c r="B186" s="1619"/>
      <c r="C186" s="1619"/>
      <c r="D186" s="1619"/>
    </row>
    <row r="187" spans="1:4" ht="15.75">
      <c r="A187" s="1619" t="s">
        <v>667</v>
      </c>
      <c r="B187" s="1619"/>
      <c r="C187" s="1619"/>
      <c r="D187" s="1619"/>
    </row>
    <row r="188" spans="1:4" ht="15.75">
      <c r="A188" s="1619" t="s">
        <v>1041</v>
      </c>
      <c r="B188" s="1619"/>
      <c r="C188" s="1619"/>
      <c r="D188" s="1619"/>
    </row>
    <row r="189" spans="1:4" ht="15.75">
      <c r="A189" s="1619" t="s">
        <v>668</v>
      </c>
      <c r="B189" s="1619"/>
      <c r="C189" s="1619"/>
      <c r="D189" s="1619"/>
    </row>
    <row r="190" spans="1:4" ht="15.75">
      <c r="A190" s="1619" t="s">
        <v>669</v>
      </c>
      <c r="B190" s="1619"/>
      <c r="C190" s="1619"/>
      <c r="D190" s="1619"/>
    </row>
    <row r="191" spans="1:4" ht="15.75">
      <c r="A191" s="1619" t="s">
        <v>670</v>
      </c>
      <c r="B191" s="1619"/>
      <c r="C191" s="1619"/>
      <c r="D191" s="1619"/>
    </row>
    <row r="192" spans="1:4" ht="15.75">
      <c r="A192" s="1619" t="s">
        <v>671</v>
      </c>
      <c r="B192" s="1619"/>
      <c r="C192" s="1619"/>
      <c r="D192" s="1619"/>
    </row>
    <row r="193" spans="1:4" ht="15.75">
      <c r="A193" s="1619" t="s">
        <v>672</v>
      </c>
      <c r="B193" s="1619"/>
      <c r="C193" s="1619"/>
      <c r="D193" s="1619"/>
    </row>
    <row r="194" spans="1:4" ht="15.75">
      <c r="A194" s="1619" t="s">
        <v>673</v>
      </c>
      <c r="B194" s="1619"/>
      <c r="C194" s="1619"/>
      <c r="D194" s="1619"/>
    </row>
    <row r="195" spans="1:4" ht="15.75">
      <c r="A195" s="1619" t="s">
        <v>674</v>
      </c>
      <c r="B195" s="1619"/>
      <c r="C195" s="1619"/>
      <c r="D195" s="1619"/>
    </row>
    <row r="196" spans="1:4" ht="15.75">
      <c r="A196" s="1619" t="s">
        <v>1042</v>
      </c>
      <c r="B196" s="1619"/>
      <c r="C196" s="1619"/>
      <c r="D196" s="1619"/>
    </row>
    <row r="197" spans="1:4" ht="15.75">
      <c r="A197" s="1619" t="s">
        <v>675</v>
      </c>
      <c r="B197" s="1619"/>
      <c r="C197" s="1619"/>
      <c r="D197" s="1619"/>
    </row>
    <row r="198" spans="1:4" ht="15.75">
      <c r="A198" s="1620" t="s">
        <v>676</v>
      </c>
      <c r="B198" s="1620"/>
      <c r="C198" s="1620"/>
      <c r="D198" s="1620"/>
    </row>
    <row r="199" spans="1:4" ht="15.75">
      <c r="A199" s="1619" t="s">
        <v>1003</v>
      </c>
      <c r="B199" s="1619"/>
      <c r="C199" s="1619"/>
      <c r="D199" s="1619"/>
    </row>
    <row r="200" spans="1:4" ht="32.1" customHeight="1">
      <c r="A200" s="1619" t="s">
        <v>1004</v>
      </c>
      <c r="B200" s="1619"/>
      <c r="C200" s="1619"/>
      <c r="D200" s="1619"/>
    </row>
    <row r="201" spans="1:4" ht="15.75">
      <c r="A201" s="1619" t="s">
        <v>1082</v>
      </c>
      <c r="B201" s="1619"/>
      <c r="C201" s="1619"/>
      <c r="D201" s="1619"/>
    </row>
    <row r="202" spans="1:4" ht="48" customHeight="1">
      <c r="A202" s="1619" t="s">
        <v>1043</v>
      </c>
      <c r="B202" s="1619"/>
      <c r="C202" s="1619"/>
      <c r="D202" s="1619"/>
    </row>
    <row r="203" spans="1:4" ht="32.1" customHeight="1">
      <c r="A203" s="1619" t="s">
        <v>677</v>
      </c>
      <c r="B203" s="1619"/>
      <c r="C203" s="1619"/>
      <c r="D203" s="1619"/>
    </row>
    <row r="204" spans="1:4" ht="15.75">
      <c r="A204" s="1619" t="s">
        <v>678</v>
      </c>
      <c r="B204" s="1621"/>
      <c r="C204" s="1621"/>
      <c r="D204" s="1621"/>
    </row>
    <row r="205" spans="1:4" ht="15.75">
      <c r="A205" s="1619" t="s">
        <v>679</v>
      </c>
      <c r="B205" s="1619"/>
      <c r="C205" s="1619"/>
      <c r="D205" s="1619"/>
    </row>
    <row r="206" spans="1:4" ht="15.75">
      <c r="A206" s="1619" t="s">
        <v>680</v>
      </c>
      <c r="B206" s="1619"/>
      <c r="C206" s="1619"/>
      <c r="D206" s="1619"/>
    </row>
    <row r="207" spans="1:4" ht="15.75">
      <c r="A207" s="1619" t="s">
        <v>681</v>
      </c>
      <c r="B207" s="1619"/>
      <c r="C207" s="1619"/>
      <c r="D207" s="1619"/>
    </row>
    <row r="208" spans="1:4" ht="15.75">
      <c r="A208" s="1619" t="s">
        <v>682</v>
      </c>
      <c r="B208" s="1619"/>
      <c r="C208" s="1619"/>
      <c r="D208" s="1619"/>
    </row>
    <row r="209" spans="1:4" ht="15.75">
      <c r="A209" s="1619" t="s">
        <v>683</v>
      </c>
      <c r="B209" s="1619"/>
      <c r="C209" s="1619"/>
      <c r="D209" s="1619"/>
    </row>
    <row r="210" spans="1:4" ht="15.75">
      <c r="A210" s="1619" t="s">
        <v>684</v>
      </c>
      <c r="B210" s="1619"/>
      <c r="C210" s="1619"/>
      <c r="D210" s="1619"/>
    </row>
    <row r="211" spans="1:4" ht="48" customHeight="1">
      <c r="A211" s="1626" t="s">
        <v>685</v>
      </c>
      <c r="B211" s="1625"/>
      <c r="C211" s="1625"/>
      <c r="D211" s="1625"/>
    </row>
    <row r="212" spans="1:4" ht="15.75">
      <c r="A212" s="1619" t="s">
        <v>1083</v>
      </c>
      <c r="B212" s="1619"/>
      <c r="C212" s="1619"/>
      <c r="D212" s="1619"/>
    </row>
    <row r="213" spans="1:4" ht="48" customHeight="1">
      <c r="A213" s="1619" t="s">
        <v>1084</v>
      </c>
      <c r="B213" s="1619"/>
      <c r="C213" s="1619"/>
      <c r="D213" s="1619"/>
    </row>
    <row r="214" spans="1:4" ht="32.1" customHeight="1">
      <c r="A214" s="1619" t="s">
        <v>686</v>
      </c>
      <c r="B214" s="1619"/>
      <c r="C214" s="1619"/>
      <c r="D214" s="1619"/>
    </row>
    <row r="215" spans="1:4" ht="32.1" customHeight="1">
      <c r="A215" s="1619" t="s">
        <v>1114</v>
      </c>
      <c r="B215" s="1619"/>
      <c r="C215" s="1619"/>
      <c r="D215" s="1619"/>
    </row>
    <row r="216" spans="1:4" ht="32.1" customHeight="1">
      <c r="A216" s="1619" t="s">
        <v>687</v>
      </c>
      <c r="B216" s="1619"/>
      <c r="C216" s="1619"/>
      <c r="D216" s="1619"/>
    </row>
    <row r="217" spans="1:4" ht="32.1" customHeight="1">
      <c r="A217" s="1619" t="s">
        <v>1046</v>
      </c>
      <c r="B217" s="1619"/>
      <c r="C217" s="1619"/>
      <c r="D217" s="1619"/>
    </row>
    <row r="218" spans="1:4" ht="63" customHeight="1">
      <c r="A218" s="1619" t="s">
        <v>1047</v>
      </c>
      <c r="B218" s="1619"/>
      <c r="C218" s="1619"/>
      <c r="D218" s="1619"/>
    </row>
    <row r="219" spans="1:4" ht="32.1" customHeight="1">
      <c r="A219" s="1619" t="s">
        <v>1048</v>
      </c>
      <c r="B219" s="1619"/>
      <c r="C219" s="1619"/>
      <c r="D219" s="1619"/>
    </row>
    <row r="220" spans="1:4" ht="15.75">
      <c r="A220" s="1619" t="s">
        <v>1654</v>
      </c>
      <c r="B220" s="1619"/>
      <c r="C220" s="1619"/>
      <c r="D220" s="1619"/>
    </row>
    <row r="221" spans="1:4" ht="15.75">
      <c r="A221" s="1620" t="s">
        <v>688</v>
      </c>
      <c r="B221" s="1620"/>
      <c r="C221" s="1620"/>
      <c r="D221" s="1620"/>
    </row>
    <row r="222" spans="1:4" ht="32.1" customHeight="1">
      <c r="A222" s="1619" t="s">
        <v>1049</v>
      </c>
      <c r="B222" s="1619"/>
      <c r="C222" s="1619"/>
      <c r="D222" s="1619"/>
    </row>
    <row r="223" spans="1:4" ht="15.75">
      <c r="A223" s="1625" t="s">
        <v>1085</v>
      </c>
      <c r="B223" s="1621"/>
      <c r="C223" s="1621"/>
      <c r="D223" s="1621"/>
    </row>
    <row r="224" spans="1:4" ht="15.75">
      <c r="A224" s="1625" t="s">
        <v>689</v>
      </c>
      <c r="B224" s="1621"/>
      <c r="C224" s="1621"/>
      <c r="D224" s="1621"/>
    </row>
    <row r="225" spans="1:4" ht="48" customHeight="1">
      <c r="A225" s="1626" t="s">
        <v>946</v>
      </c>
      <c r="B225" s="1621"/>
      <c r="C225" s="1621"/>
      <c r="D225" s="1621"/>
    </row>
    <row r="226" spans="1:4" ht="48" customHeight="1">
      <c r="A226" s="1626" t="s">
        <v>690</v>
      </c>
      <c r="B226" s="1621"/>
      <c r="C226" s="1621"/>
      <c r="D226" s="1621"/>
    </row>
    <row r="227" spans="1:4" ht="15.75">
      <c r="A227" s="1619" t="s">
        <v>1086</v>
      </c>
      <c r="B227" s="1621"/>
      <c r="C227" s="1621"/>
      <c r="D227" s="1621"/>
    </row>
    <row r="228" spans="1:4" ht="48" customHeight="1">
      <c r="A228" s="1619" t="s">
        <v>1050</v>
      </c>
      <c r="B228" s="1621"/>
      <c r="C228" s="1621"/>
      <c r="D228" s="1621"/>
    </row>
    <row r="229" spans="1:4" ht="15.75">
      <c r="A229" s="1619" t="s">
        <v>1087</v>
      </c>
      <c r="B229" s="1621"/>
      <c r="C229" s="1621"/>
      <c r="D229" s="1621"/>
    </row>
    <row r="230" spans="1:4" ht="15.75">
      <c r="A230" s="1619" t="s">
        <v>691</v>
      </c>
      <c r="B230" s="1621"/>
      <c r="C230" s="1621"/>
      <c r="D230" s="1621"/>
    </row>
    <row r="231" spans="1:4" ht="15.75">
      <c r="A231" s="1619" t="s">
        <v>1051</v>
      </c>
      <c r="B231" s="1621"/>
      <c r="C231" s="1621"/>
      <c r="D231" s="1621"/>
    </row>
    <row r="232" spans="1:4" ht="15.75">
      <c r="A232" s="1619" t="s">
        <v>692</v>
      </c>
      <c r="B232" s="1621"/>
      <c r="C232" s="1621"/>
      <c r="D232" s="1621"/>
    </row>
    <row r="233" spans="1:4" ht="15.75">
      <c r="A233" s="1619" t="s">
        <v>693</v>
      </c>
      <c r="B233" s="1621"/>
      <c r="C233" s="1621"/>
      <c r="D233" s="1621"/>
    </row>
    <row r="234" spans="1:4" ht="48" customHeight="1">
      <c r="A234" s="1619" t="s">
        <v>1052</v>
      </c>
      <c r="B234" s="1621"/>
      <c r="C234" s="1621"/>
      <c r="D234" s="1621"/>
    </row>
    <row r="235" spans="1:4" ht="15.75">
      <c r="A235" s="1620" t="s">
        <v>694</v>
      </c>
      <c r="B235" s="1621"/>
      <c r="C235" s="1621"/>
      <c r="D235" s="1621"/>
    </row>
    <row r="236" spans="1:4" ht="15.75">
      <c r="A236" s="1619" t="s">
        <v>695</v>
      </c>
      <c r="B236" s="1621"/>
      <c r="C236" s="1621"/>
      <c r="D236" s="1621"/>
    </row>
    <row r="237" spans="1:4" ht="32.1" customHeight="1">
      <c r="A237" s="1619" t="s">
        <v>1131</v>
      </c>
      <c r="B237" s="1621"/>
      <c r="C237" s="1621"/>
      <c r="D237" s="1621"/>
    </row>
    <row r="238" spans="1:4" ht="32.1" customHeight="1">
      <c r="A238" s="1619" t="s">
        <v>1053</v>
      </c>
      <c r="B238" s="1621"/>
      <c r="C238" s="1621"/>
      <c r="D238" s="1621"/>
    </row>
    <row r="239" spans="1:4" ht="15.75">
      <c r="A239" s="1619" t="s">
        <v>1054</v>
      </c>
      <c r="B239" s="1621"/>
      <c r="C239" s="1621"/>
      <c r="D239" s="1621"/>
    </row>
    <row r="240" spans="1:4" ht="32.1" customHeight="1">
      <c r="A240" s="1619" t="s">
        <v>696</v>
      </c>
      <c r="B240" s="1621"/>
      <c r="C240" s="1621"/>
      <c r="D240" s="1621"/>
    </row>
    <row r="241" spans="1:4" ht="32.1" customHeight="1">
      <c r="A241" s="1619" t="s">
        <v>697</v>
      </c>
      <c r="B241" s="1621"/>
      <c r="C241" s="1621"/>
      <c r="D241" s="1621"/>
    </row>
    <row r="242" spans="1:4" ht="15.75">
      <c r="A242" s="1619" t="s">
        <v>1055</v>
      </c>
      <c r="B242" s="1621"/>
      <c r="C242" s="1621"/>
      <c r="D242" s="1621"/>
    </row>
    <row r="243" spans="1:4" ht="32.1" customHeight="1">
      <c r="A243" s="1619" t="s">
        <v>698</v>
      </c>
      <c r="B243" s="1621"/>
      <c r="C243" s="1621"/>
      <c r="D243" s="1621"/>
    </row>
    <row r="244" spans="1:4" ht="15.75">
      <c r="A244" s="1619" t="s">
        <v>1088</v>
      </c>
      <c r="B244" s="1621"/>
      <c r="C244" s="1621"/>
      <c r="D244" s="1621"/>
    </row>
    <row r="245" spans="1:4" ht="58.9" customHeight="1">
      <c r="A245" s="1619" t="s">
        <v>1655</v>
      </c>
      <c r="B245" s="1621"/>
      <c r="C245" s="1621"/>
      <c r="D245" s="1621"/>
    </row>
    <row r="246" spans="1:4" ht="15.75">
      <c r="A246" s="1619" t="s">
        <v>1089</v>
      </c>
      <c r="B246" s="1621"/>
      <c r="C246" s="1621"/>
      <c r="D246" s="1621"/>
    </row>
    <row r="247" spans="1:4" ht="32.1" customHeight="1">
      <c r="A247" s="1619" t="s">
        <v>699</v>
      </c>
      <c r="B247" s="1621"/>
      <c r="C247" s="1621"/>
      <c r="D247" s="1621"/>
    </row>
    <row r="248" spans="1:4" ht="32.1" customHeight="1">
      <c r="A248" s="1619" t="s">
        <v>700</v>
      </c>
      <c r="B248" s="1621"/>
      <c r="C248" s="1621"/>
      <c r="D248" s="1621"/>
    </row>
    <row r="249" spans="1:4" ht="15.75">
      <c r="A249" s="1619" t="s">
        <v>1058</v>
      </c>
      <c r="B249" s="1621"/>
      <c r="C249" s="1621"/>
      <c r="D249" s="1621"/>
    </row>
    <row r="250" spans="1:4" ht="32.1" customHeight="1">
      <c r="A250" s="1619" t="s">
        <v>1057</v>
      </c>
      <c r="B250" s="1621"/>
      <c r="C250" s="1621"/>
      <c r="D250" s="1621"/>
    </row>
    <row r="251" spans="1:4" ht="15.75">
      <c r="A251" s="1619" t="s">
        <v>701</v>
      </c>
      <c r="B251" s="1621"/>
      <c r="C251" s="1621"/>
      <c r="D251" s="1621"/>
    </row>
    <row r="252" spans="1:4" ht="15.75">
      <c r="A252" s="1619" t="s">
        <v>1056</v>
      </c>
      <c r="B252" s="1621"/>
      <c r="C252" s="1621"/>
      <c r="D252" s="1621"/>
    </row>
    <row r="253" spans="1:4" ht="48" customHeight="1">
      <c r="A253" s="1619" t="s">
        <v>1059</v>
      </c>
      <c r="B253" s="1621"/>
      <c r="C253" s="1621"/>
      <c r="D253" s="1621"/>
    </row>
    <row r="254" spans="1:4" ht="15.75">
      <c r="A254" s="1620" t="s">
        <v>702</v>
      </c>
      <c r="B254" s="1621"/>
      <c r="C254" s="1621"/>
      <c r="D254" s="1621"/>
    </row>
    <row r="255" spans="1:4" ht="48" customHeight="1">
      <c r="A255" s="1619" t="s">
        <v>1005</v>
      </c>
      <c r="B255" s="1621"/>
      <c r="C255" s="1621"/>
      <c r="D255" s="1621"/>
    </row>
    <row r="256" spans="1:4" ht="15.75">
      <c r="A256" s="1619" t="s">
        <v>1006</v>
      </c>
      <c r="B256" s="1621"/>
      <c r="C256" s="1621"/>
      <c r="D256" s="1621"/>
    </row>
    <row r="257" spans="1:8" ht="15.75">
      <c r="A257" s="1619" t="s">
        <v>1007</v>
      </c>
      <c r="B257" s="1621"/>
      <c r="C257" s="1621"/>
      <c r="D257" s="1621"/>
    </row>
    <row r="258" spans="1:8" ht="48" customHeight="1">
      <c r="A258" s="1619" t="s">
        <v>1008</v>
      </c>
      <c r="B258" s="1621"/>
      <c r="C258" s="1621"/>
      <c r="D258" s="1621"/>
    </row>
    <row r="259" spans="1:8" ht="15.75">
      <c r="A259" s="1619" t="s">
        <v>1060</v>
      </c>
      <c r="B259" s="1621"/>
      <c r="C259" s="1621"/>
      <c r="D259" s="1621"/>
    </row>
    <row r="260" spans="1:8" ht="32.1" customHeight="1">
      <c r="A260" s="1619" t="s">
        <v>1009</v>
      </c>
      <c r="B260" s="1621"/>
      <c r="C260" s="1621"/>
      <c r="D260" s="1621"/>
    </row>
    <row r="261" spans="1:8" ht="32.1" customHeight="1">
      <c r="A261" s="1619" t="s">
        <v>1010</v>
      </c>
      <c r="B261" s="1621"/>
      <c r="C261" s="1621"/>
      <c r="D261" s="1621"/>
    </row>
    <row r="262" spans="1:8" ht="46.15" customHeight="1">
      <c r="A262" s="1619" t="s">
        <v>1656</v>
      </c>
      <c r="B262" s="1621"/>
      <c r="C262" s="1621"/>
      <c r="D262" s="1621"/>
      <c r="E262" s="1635"/>
      <c r="F262" s="1636"/>
      <c r="G262" s="1636"/>
      <c r="H262" s="1636"/>
    </row>
    <row r="263" spans="1:8" ht="15.75">
      <c r="A263" s="1619" t="s">
        <v>1090</v>
      </c>
      <c r="B263" s="1621"/>
      <c r="C263" s="1621"/>
      <c r="D263" s="1621"/>
      <c r="E263" s="1635"/>
      <c r="F263" s="1636"/>
      <c r="G263" s="1636"/>
      <c r="H263" s="1636"/>
    </row>
    <row r="264" spans="1:8" ht="32.1" customHeight="1">
      <c r="A264" s="1619" t="s">
        <v>1091</v>
      </c>
      <c r="B264" s="1621"/>
      <c r="C264" s="1621"/>
      <c r="D264" s="1621"/>
      <c r="E264" s="1635"/>
      <c r="F264" s="1636"/>
      <c r="G264" s="1636"/>
      <c r="H264" s="1636"/>
    </row>
    <row r="265" spans="1:8" ht="15.75">
      <c r="A265" s="868" t="s">
        <v>1092</v>
      </c>
      <c r="B265" s="808"/>
      <c r="C265" s="808"/>
      <c r="D265" s="808"/>
    </row>
    <row r="266" spans="1:8" ht="15.75">
      <c r="A266" s="1619" t="s">
        <v>1093</v>
      </c>
      <c r="B266" s="1621"/>
      <c r="C266" s="1621"/>
      <c r="D266" s="1621"/>
      <c r="E266" s="1635"/>
      <c r="F266" s="1636"/>
      <c r="G266" s="1636"/>
      <c r="H266" s="1636"/>
    </row>
    <row r="267" spans="1:8" ht="32.1" customHeight="1">
      <c r="A267" s="1619" t="s">
        <v>1061</v>
      </c>
      <c r="B267" s="1621"/>
      <c r="C267" s="1621"/>
      <c r="D267" s="1621"/>
      <c r="E267" s="1635"/>
      <c r="F267" s="1636"/>
      <c r="G267" s="1636"/>
      <c r="H267" s="1636"/>
    </row>
    <row r="268" spans="1:8" ht="32.1" customHeight="1">
      <c r="A268" s="1619" t="s">
        <v>703</v>
      </c>
      <c r="B268" s="1621"/>
      <c r="C268" s="1621"/>
      <c r="D268" s="1621"/>
      <c r="E268" s="1635"/>
      <c r="F268" s="1636"/>
      <c r="G268" s="1636"/>
      <c r="H268" s="1636"/>
    </row>
    <row r="269" spans="1:8" ht="32.1" customHeight="1">
      <c r="A269" s="1619" t="s">
        <v>704</v>
      </c>
      <c r="B269" s="1621"/>
      <c r="C269" s="1621"/>
      <c r="D269" s="1621"/>
      <c r="E269" s="1635"/>
      <c r="F269" s="1636"/>
      <c r="G269" s="1636"/>
      <c r="H269" s="1636"/>
    </row>
    <row r="270" spans="1:8" ht="15.75">
      <c r="A270" s="1619" t="s">
        <v>705</v>
      </c>
      <c r="B270" s="1621"/>
      <c r="C270" s="1621"/>
      <c r="D270" s="1621"/>
      <c r="E270" s="1635"/>
      <c r="F270" s="1636"/>
      <c r="G270" s="1636"/>
      <c r="H270" s="1636"/>
    </row>
    <row r="271" spans="1:8" ht="15.75">
      <c r="A271" s="1619" t="s">
        <v>706</v>
      </c>
      <c r="B271" s="1621"/>
      <c r="C271" s="1621"/>
      <c r="D271" s="1621"/>
      <c r="E271" s="1635"/>
      <c r="F271" s="1636"/>
      <c r="G271" s="1636"/>
      <c r="H271" s="1636"/>
    </row>
    <row r="272" spans="1:8" ht="15.75">
      <c r="A272" s="1619" t="s">
        <v>1094</v>
      </c>
      <c r="B272" s="1619"/>
      <c r="C272" s="1619"/>
      <c r="D272" s="1619"/>
    </row>
    <row r="273" spans="1:8" ht="32.1" customHeight="1">
      <c r="A273" s="1619" t="s">
        <v>707</v>
      </c>
      <c r="B273" s="1621"/>
      <c r="C273" s="1621"/>
      <c r="D273" s="1621"/>
      <c r="E273" s="1635"/>
      <c r="F273" s="1636"/>
      <c r="G273" s="1636"/>
      <c r="H273" s="1636"/>
    </row>
    <row r="274" spans="1:8" ht="15.75">
      <c r="A274" s="1620" t="s">
        <v>708</v>
      </c>
      <c r="B274" s="1620"/>
      <c r="C274" s="1620"/>
      <c r="D274" s="1620"/>
    </row>
    <row r="275" spans="1:8" ht="32.1" customHeight="1">
      <c r="A275" s="1619" t="s">
        <v>1062</v>
      </c>
      <c r="B275" s="1621"/>
      <c r="C275" s="1621"/>
      <c r="D275" s="1621"/>
      <c r="E275" s="1635"/>
      <c r="F275" s="1636"/>
      <c r="G275" s="1636"/>
      <c r="H275" s="1636"/>
    </row>
    <row r="276" spans="1:8" ht="63" customHeight="1">
      <c r="A276" s="1619" t="s">
        <v>1063</v>
      </c>
      <c r="B276" s="1621"/>
      <c r="C276" s="1621"/>
      <c r="D276" s="1621"/>
    </row>
    <row r="277" spans="1:8" ht="15.75">
      <c r="A277" s="1619" t="s">
        <v>1657</v>
      </c>
      <c r="B277" s="1621"/>
      <c r="C277" s="1621"/>
      <c r="D277" s="1621"/>
      <c r="E277" s="1635"/>
      <c r="F277" s="1636"/>
      <c r="G277" s="1636"/>
      <c r="H277" s="1636"/>
    </row>
    <row r="278" spans="1:8" ht="32.1" customHeight="1">
      <c r="A278" s="1619" t="s">
        <v>710</v>
      </c>
      <c r="B278" s="1621"/>
      <c r="C278" s="1621"/>
      <c r="D278" s="1621"/>
      <c r="E278" s="1635"/>
      <c r="F278" s="1636"/>
      <c r="G278" s="1636"/>
      <c r="H278" s="1636"/>
    </row>
    <row r="279" spans="1:8" ht="15.75">
      <c r="A279" s="1620" t="s">
        <v>1095</v>
      </c>
      <c r="B279" s="1620"/>
      <c r="C279" s="1620"/>
      <c r="D279" s="1620"/>
    </row>
    <row r="280" spans="1:8" ht="15.75">
      <c r="A280" s="1619" t="s">
        <v>1064</v>
      </c>
      <c r="B280" s="1621"/>
      <c r="C280" s="1621"/>
      <c r="D280" s="1621"/>
      <c r="E280" s="1635"/>
      <c r="F280" s="1636"/>
      <c r="G280" s="1636"/>
      <c r="H280" s="1636"/>
    </row>
    <row r="281" spans="1:8" ht="15.75">
      <c r="A281" s="1619" t="s">
        <v>711</v>
      </c>
      <c r="B281" s="1621"/>
      <c r="C281" s="1621"/>
      <c r="D281" s="1621"/>
      <c r="E281" s="1635"/>
      <c r="F281" s="1636"/>
      <c r="G281" s="1636"/>
      <c r="H281" s="1636"/>
    </row>
    <row r="282" spans="1:8" ht="32.1" customHeight="1">
      <c r="A282" s="1619" t="s">
        <v>1096</v>
      </c>
      <c r="B282" s="1621"/>
      <c r="C282" s="1621"/>
      <c r="D282" s="1621"/>
      <c r="E282" s="1635"/>
      <c r="F282" s="1636"/>
      <c r="G282" s="1636"/>
      <c r="H282" s="1636"/>
    </row>
    <row r="283" spans="1:8" ht="15.75">
      <c r="A283" s="1645" t="s">
        <v>1097</v>
      </c>
      <c r="B283" s="1645"/>
      <c r="C283" s="1645"/>
      <c r="D283" s="1645"/>
    </row>
    <row r="284" spans="1:8" ht="15.75">
      <c r="A284" s="1619" t="s">
        <v>712</v>
      </c>
      <c r="B284" s="1621"/>
      <c r="C284" s="1621"/>
      <c r="D284" s="1621"/>
      <c r="E284" s="1635"/>
      <c r="F284" s="1636"/>
      <c r="G284" s="1636"/>
      <c r="H284" s="1636"/>
    </row>
    <row r="285" spans="1:8" ht="32.1" customHeight="1">
      <c r="A285" s="1619" t="s">
        <v>713</v>
      </c>
      <c r="B285" s="1621"/>
      <c r="C285" s="1621"/>
      <c r="D285" s="1621"/>
      <c r="E285" s="1635"/>
      <c r="F285" s="1636"/>
      <c r="G285" s="1636"/>
      <c r="H285" s="1636"/>
    </row>
    <row r="286" spans="1:8" ht="27.6" customHeight="1">
      <c r="A286" s="1619" t="s">
        <v>1658</v>
      </c>
      <c r="B286" s="1621"/>
      <c r="C286" s="1621"/>
      <c r="D286" s="1621"/>
      <c r="E286" s="1635"/>
      <c r="F286" s="1636"/>
      <c r="G286" s="1636"/>
      <c r="H286" s="1636"/>
    </row>
    <row r="287" spans="1:8" ht="48" customHeight="1">
      <c r="A287" s="1619" t="s">
        <v>1098</v>
      </c>
      <c r="B287" s="1621"/>
      <c r="C287" s="1621"/>
      <c r="D287" s="1621"/>
      <c r="E287" s="1635"/>
      <c r="F287" s="1636"/>
      <c r="G287" s="1636"/>
      <c r="H287" s="1636"/>
    </row>
    <row r="288" spans="1:8" ht="32.1" customHeight="1">
      <c r="A288" s="1619" t="s">
        <v>1216</v>
      </c>
      <c r="B288" s="1621"/>
      <c r="C288" s="1621"/>
      <c r="D288" s="1621"/>
      <c r="E288" s="1635"/>
      <c r="F288" s="1636"/>
      <c r="G288" s="1636"/>
      <c r="H288" s="1636"/>
    </row>
    <row r="289" spans="1:8" ht="15.75">
      <c r="A289" s="1620" t="s">
        <v>714</v>
      </c>
      <c r="B289" s="1621"/>
      <c r="C289" s="1621"/>
      <c r="D289" s="1621"/>
    </row>
    <row r="290" spans="1:8" ht="48" customHeight="1">
      <c r="A290" s="1619" t="s">
        <v>715</v>
      </c>
      <c r="B290" s="1621"/>
      <c r="C290" s="1621"/>
      <c r="D290" s="1621"/>
      <c r="E290" s="1635"/>
      <c r="F290" s="1636"/>
      <c r="G290" s="1636"/>
      <c r="H290" s="1636"/>
    </row>
    <row r="291" spans="1:8" ht="32.1" customHeight="1">
      <c r="A291" s="1619" t="s">
        <v>1217</v>
      </c>
      <c r="B291" s="1621"/>
      <c r="C291" s="1621"/>
      <c r="D291" s="1621"/>
      <c r="E291" s="1635"/>
      <c r="F291" s="1636"/>
      <c r="G291" s="1636"/>
      <c r="H291" s="1636"/>
    </row>
    <row r="292" spans="1:8" ht="15.75">
      <c r="A292" s="1619" t="s">
        <v>1065</v>
      </c>
      <c r="B292" s="1619"/>
      <c r="C292" s="1619"/>
      <c r="D292" s="1619"/>
      <c r="E292" s="781"/>
      <c r="F292" s="567"/>
      <c r="G292" s="567"/>
      <c r="H292" s="567"/>
    </row>
    <row r="293" spans="1:8" ht="32.1" customHeight="1">
      <c r="A293" s="1619" t="s">
        <v>716</v>
      </c>
      <c r="B293" s="1621"/>
      <c r="C293" s="1621"/>
      <c r="D293" s="1621"/>
      <c r="E293" s="1635"/>
      <c r="F293" s="1636"/>
      <c r="G293" s="1636"/>
      <c r="H293" s="1636"/>
    </row>
    <row r="294" spans="1:8" ht="15.75">
      <c r="A294" s="1619" t="s">
        <v>1218</v>
      </c>
      <c r="B294" s="1621"/>
      <c r="C294" s="1621"/>
      <c r="D294" s="1621"/>
      <c r="E294" s="1635"/>
      <c r="F294" s="1636"/>
      <c r="G294" s="1636"/>
      <c r="H294" s="1636"/>
    </row>
    <row r="295" spans="1:8" ht="32.1" customHeight="1">
      <c r="A295" s="1619" t="s">
        <v>717</v>
      </c>
      <c r="B295" s="1621"/>
      <c r="C295" s="1621"/>
      <c r="D295" s="1621"/>
      <c r="E295" s="1635"/>
      <c r="F295" s="1636"/>
      <c r="G295" s="1636"/>
      <c r="H295" s="1636"/>
    </row>
    <row r="296" spans="1:8" ht="48" customHeight="1">
      <c r="A296" s="1619" t="s">
        <v>1067</v>
      </c>
      <c r="B296" s="1621"/>
      <c r="C296" s="1621"/>
      <c r="D296" s="1621"/>
      <c r="E296" s="1635"/>
      <c r="F296" s="1636"/>
      <c r="G296" s="1636"/>
      <c r="H296" s="1636"/>
    </row>
    <row r="297" spans="1:8" ht="78.95" customHeight="1">
      <c r="A297" s="1619" t="s">
        <v>1066</v>
      </c>
      <c r="B297" s="1621"/>
      <c r="C297" s="1621"/>
      <c r="D297" s="1621"/>
      <c r="E297" s="1635"/>
      <c r="F297" s="1636"/>
      <c r="G297" s="1636"/>
      <c r="H297" s="1636"/>
    </row>
    <row r="298" spans="1:8" ht="78.95" customHeight="1">
      <c r="A298" s="1619" t="s">
        <v>1068</v>
      </c>
      <c r="B298" s="1621"/>
      <c r="C298" s="1621"/>
      <c r="D298" s="1621"/>
      <c r="E298" s="1635"/>
      <c r="F298" s="1636"/>
      <c r="G298" s="1636"/>
      <c r="H298" s="1636"/>
    </row>
    <row r="299" spans="1:8" ht="15.75">
      <c r="A299" s="1619" t="s">
        <v>1099</v>
      </c>
      <c r="B299" s="1619"/>
      <c r="C299" s="1619"/>
      <c r="D299" s="1619"/>
    </row>
    <row r="300" spans="1:8" ht="15.75">
      <c r="A300" s="1619" t="s">
        <v>718</v>
      </c>
      <c r="B300" s="1621"/>
      <c r="C300" s="1621"/>
      <c r="D300" s="1621"/>
      <c r="E300" s="1635"/>
      <c r="F300" s="1636"/>
      <c r="G300" s="1636"/>
      <c r="H300" s="1636"/>
    </row>
    <row r="301" spans="1:8" ht="15.75">
      <c r="A301" s="1619" t="s">
        <v>719</v>
      </c>
      <c r="B301" s="1621"/>
      <c r="C301" s="1621"/>
      <c r="D301" s="1621"/>
      <c r="E301" s="1635"/>
      <c r="F301" s="1636"/>
      <c r="G301" s="1636"/>
      <c r="H301" s="1636"/>
    </row>
    <row r="302" spans="1:8" ht="15.75">
      <c r="A302" s="1619" t="s">
        <v>1100</v>
      </c>
      <c r="B302" s="1621"/>
      <c r="C302" s="1621"/>
      <c r="D302" s="1621"/>
      <c r="E302" s="1635"/>
      <c r="F302" s="1636"/>
      <c r="G302" s="1636"/>
      <c r="H302" s="1636"/>
    </row>
    <row r="303" spans="1:8" ht="15.75">
      <c r="A303" s="1619" t="s">
        <v>720</v>
      </c>
      <c r="B303" s="1621"/>
      <c r="C303" s="1621"/>
      <c r="D303" s="1621"/>
      <c r="E303" s="1635"/>
      <c r="F303" s="1636"/>
      <c r="G303" s="1636"/>
      <c r="H303" s="1636"/>
    </row>
    <row r="304" spans="1:8" ht="48" customHeight="1">
      <c r="A304" s="1619" t="s">
        <v>1101</v>
      </c>
      <c r="B304" s="1619"/>
      <c r="C304" s="1619"/>
      <c r="D304" s="1619"/>
    </row>
    <row r="305" spans="1:8" ht="15.75">
      <c r="A305" s="1619" t="s">
        <v>721</v>
      </c>
      <c r="B305" s="1621"/>
      <c r="C305" s="1621"/>
      <c r="D305" s="1621"/>
      <c r="E305" s="1635"/>
      <c r="F305" s="1636"/>
      <c r="G305" s="1636"/>
      <c r="H305" s="1636"/>
    </row>
    <row r="306" spans="1:8" ht="95.1" customHeight="1">
      <c r="A306" s="1619" t="s">
        <v>1069</v>
      </c>
      <c r="B306" s="1621"/>
      <c r="C306" s="1621"/>
      <c r="D306" s="1621"/>
      <c r="E306" s="1635"/>
      <c r="F306" s="1636"/>
      <c r="G306" s="1636"/>
      <c r="H306" s="1636"/>
    </row>
    <row r="307" spans="1:8" ht="15.75">
      <c r="A307" s="1619" t="s">
        <v>1070</v>
      </c>
      <c r="B307" s="1621"/>
      <c r="C307" s="1621"/>
      <c r="D307" s="1621"/>
      <c r="E307" s="1635"/>
      <c r="F307" s="1636"/>
      <c r="G307" s="1636"/>
      <c r="H307" s="1636"/>
    </row>
    <row r="308" spans="1:8" ht="32.1" customHeight="1">
      <c r="A308" s="1619" t="s">
        <v>722</v>
      </c>
      <c r="B308" s="1621"/>
      <c r="C308" s="1621"/>
      <c r="D308" s="1621"/>
      <c r="E308" s="1635"/>
      <c r="F308" s="1636"/>
      <c r="G308" s="1636"/>
      <c r="H308" s="1636"/>
    </row>
    <row r="309" spans="1:8" ht="32.1" customHeight="1">
      <c r="A309" s="1619" t="s">
        <v>723</v>
      </c>
      <c r="B309" s="1621"/>
      <c r="C309" s="1621"/>
      <c r="D309" s="1621"/>
      <c r="E309" s="1635"/>
      <c r="F309" s="1636"/>
      <c r="G309" s="1636"/>
      <c r="H309" s="1636"/>
    </row>
    <row r="310" spans="1:8" ht="15.75">
      <c r="A310" s="1619" t="s">
        <v>1102</v>
      </c>
      <c r="B310" s="1619"/>
      <c r="C310" s="1619"/>
      <c r="D310" s="1619"/>
    </row>
    <row r="311" spans="1:8" ht="15.75">
      <c r="A311" s="1619" t="s">
        <v>1659</v>
      </c>
      <c r="B311" s="1621"/>
      <c r="C311" s="1621"/>
      <c r="D311" s="1621"/>
      <c r="E311" s="1635"/>
      <c r="F311" s="1636"/>
      <c r="G311" s="1636"/>
      <c r="H311" s="1636"/>
    </row>
    <row r="312" spans="1:8" ht="43.9" customHeight="1">
      <c r="A312" s="1619" t="s">
        <v>1660</v>
      </c>
      <c r="B312" s="1621"/>
      <c r="C312" s="1621"/>
      <c r="D312" s="1621"/>
      <c r="E312" s="1635"/>
      <c r="F312" s="1636"/>
      <c r="G312" s="1636"/>
      <c r="H312" s="1636"/>
    </row>
    <row r="313" spans="1:8" ht="15.75">
      <c r="A313" s="1619" t="s">
        <v>724</v>
      </c>
      <c r="B313" s="1621"/>
      <c r="C313" s="1621"/>
      <c r="D313" s="1621"/>
      <c r="E313" s="1635"/>
      <c r="F313" s="1636"/>
      <c r="G313" s="1636"/>
      <c r="H313" s="1636"/>
    </row>
    <row r="314" spans="1:8" ht="15.75">
      <c r="A314" s="1619" t="s">
        <v>725</v>
      </c>
      <c r="B314" s="1621"/>
      <c r="C314" s="1621"/>
      <c r="D314" s="1621"/>
      <c r="E314" s="1635"/>
      <c r="F314" s="1636"/>
      <c r="G314" s="1636"/>
      <c r="H314" s="1636"/>
    </row>
    <row r="315" spans="1:8" ht="15.75">
      <c r="A315" s="1619" t="s">
        <v>726</v>
      </c>
      <c r="B315" s="1621"/>
      <c r="C315" s="1621"/>
      <c r="D315" s="1621"/>
      <c r="E315" s="1635"/>
      <c r="F315" s="1636"/>
      <c r="G315" s="1636"/>
      <c r="H315" s="1636"/>
    </row>
    <row r="316" spans="1:8" ht="32.1" customHeight="1">
      <c r="A316" s="1619" t="s">
        <v>727</v>
      </c>
      <c r="B316" s="1621"/>
      <c r="C316" s="1621"/>
      <c r="D316" s="1621"/>
      <c r="E316" s="1635"/>
      <c r="F316" s="1636"/>
      <c r="G316" s="1636"/>
      <c r="H316" s="1636"/>
    </row>
    <row r="317" spans="1:8" ht="15.75">
      <c r="A317" s="1619" t="s">
        <v>728</v>
      </c>
      <c r="B317" s="1621"/>
      <c r="C317" s="1621"/>
      <c r="D317" s="1621"/>
      <c r="E317" s="1635"/>
      <c r="F317" s="1636"/>
      <c r="G317" s="1636"/>
      <c r="H317" s="1636"/>
    </row>
    <row r="318" spans="1:8" ht="15.75">
      <c r="A318" s="1619" t="s">
        <v>1103</v>
      </c>
      <c r="B318" s="1621"/>
      <c r="C318" s="1621"/>
      <c r="D318" s="1621"/>
    </row>
    <row r="319" spans="1:8" ht="32.1" customHeight="1">
      <c r="A319" s="1619" t="s">
        <v>729</v>
      </c>
      <c r="B319" s="1621"/>
      <c r="C319" s="1621"/>
      <c r="D319" s="1621"/>
      <c r="E319" s="1635"/>
      <c r="F319" s="1636"/>
      <c r="G319" s="1636"/>
      <c r="H319" s="1636"/>
    </row>
    <row r="320" spans="1:8" ht="32.1" customHeight="1">
      <c r="A320" s="1619" t="s">
        <v>1071</v>
      </c>
      <c r="B320" s="1621"/>
      <c r="C320" s="1621"/>
      <c r="D320" s="1621"/>
      <c r="E320" s="1635"/>
      <c r="F320" s="1636"/>
      <c r="G320" s="1636"/>
      <c r="H320" s="1636"/>
    </row>
    <row r="321" spans="1:8" ht="15.75">
      <c r="A321" s="1619" t="s">
        <v>1104</v>
      </c>
      <c r="B321" s="1619"/>
      <c r="C321" s="1619"/>
      <c r="D321" s="1619"/>
    </row>
    <row r="322" spans="1:8" ht="15.75">
      <c r="A322" s="1619" t="s">
        <v>730</v>
      </c>
      <c r="B322" s="1621"/>
      <c r="C322" s="1621"/>
      <c r="D322" s="1621"/>
      <c r="E322" s="1635"/>
      <c r="F322" s="1636"/>
      <c r="G322" s="1636"/>
      <c r="H322" s="1636"/>
    </row>
    <row r="323" spans="1:8" ht="63" customHeight="1">
      <c r="A323" s="1619" t="s">
        <v>731</v>
      </c>
      <c r="B323" s="1621"/>
      <c r="C323" s="1621"/>
      <c r="D323" s="1621"/>
      <c r="E323" s="1635"/>
      <c r="F323" s="1636"/>
      <c r="G323" s="1636"/>
      <c r="H323" s="1636"/>
    </row>
    <row r="324" spans="1:8" ht="48" customHeight="1">
      <c r="A324" s="1619" t="s">
        <v>1115</v>
      </c>
      <c r="B324" s="1621"/>
      <c r="C324" s="1621"/>
      <c r="D324" s="1621"/>
      <c r="E324" s="1635"/>
      <c r="F324" s="1636"/>
      <c r="G324" s="1636"/>
      <c r="H324" s="1636"/>
    </row>
    <row r="325" spans="1:8" ht="15.75">
      <c r="A325" s="1619" t="s">
        <v>1105</v>
      </c>
      <c r="B325" s="1619"/>
      <c r="C325" s="1619"/>
      <c r="D325" s="1619"/>
    </row>
    <row r="326" spans="1:8" ht="15.75">
      <c r="A326" s="1619" t="s">
        <v>732</v>
      </c>
      <c r="B326" s="1621"/>
      <c r="C326" s="1621"/>
      <c r="D326" s="1621"/>
      <c r="E326" s="1635"/>
      <c r="F326" s="1636"/>
      <c r="G326" s="1636"/>
      <c r="H326" s="1636"/>
    </row>
    <row r="327" spans="1:8" ht="15.75">
      <c r="A327" s="1619" t="s">
        <v>733</v>
      </c>
      <c r="B327" s="1621"/>
      <c r="C327" s="1621"/>
      <c r="D327" s="1621"/>
      <c r="E327" s="1635"/>
      <c r="F327" s="1636"/>
      <c r="G327" s="1636"/>
      <c r="H327" s="1636"/>
    </row>
    <row r="328" spans="1:8" ht="15.75">
      <c r="A328" s="1619" t="s">
        <v>1072</v>
      </c>
      <c r="B328" s="1621"/>
      <c r="C328" s="1621"/>
      <c r="D328" s="1621"/>
      <c r="E328" s="1635"/>
      <c r="F328" s="1636"/>
      <c r="G328" s="1636"/>
      <c r="H328" s="1636"/>
    </row>
    <row r="329" spans="1:8" ht="32.1" customHeight="1">
      <c r="A329" s="1619" t="s">
        <v>1073</v>
      </c>
      <c r="B329" s="1621"/>
      <c r="C329" s="1621"/>
      <c r="D329" s="1621"/>
      <c r="E329" s="1635"/>
      <c r="F329" s="1636"/>
      <c r="G329" s="1636"/>
      <c r="H329" s="1636"/>
    </row>
    <row r="330" spans="1:8" ht="15.75">
      <c r="A330" s="1619" t="s">
        <v>734</v>
      </c>
      <c r="B330" s="1621"/>
      <c r="C330" s="1621"/>
      <c r="D330" s="1621"/>
      <c r="E330" s="1635"/>
      <c r="F330" s="1636"/>
      <c r="G330" s="1636"/>
      <c r="H330" s="1636"/>
    </row>
    <row r="331" spans="1:8" ht="15.75">
      <c r="A331" s="1619" t="s">
        <v>735</v>
      </c>
      <c r="B331" s="1621"/>
      <c r="C331" s="1621"/>
      <c r="D331" s="1621"/>
      <c r="E331" s="1635"/>
      <c r="F331" s="1636"/>
      <c r="G331" s="1636"/>
      <c r="H331" s="1636"/>
    </row>
    <row r="332" spans="1:8" ht="15.75">
      <c r="A332" s="1619" t="s">
        <v>1074</v>
      </c>
      <c r="B332" s="1621"/>
      <c r="C332" s="1621"/>
      <c r="D332" s="1621"/>
      <c r="E332" s="1635"/>
      <c r="F332" s="1636"/>
      <c r="G332" s="1636"/>
      <c r="H332" s="1636"/>
    </row>
    <row r="333" spans="1:8" ht="15.75">
      <c r="A333" s="1619" t="s">
        <v>736</v>
      </c>
      <c r="B333" s="1621"/>
      <c r="C333" s="1621"/>
      <c r="D333" s="1621"/>
      <c r="E333" s="1635"/>
      <c r="F333" s="1636"/>
      <c r="G333" s="1636"/>
      <c r="H333" s="1636"/>
    </row>
    <row r="334" spans="1:8" ht="15.75">
      <c r="A334" s="1619" t="s">
        <v>737</v>
      </c>
      <c r="B334" s="1621"/>
      <c r="C334" s="1621"/>
      <c r="D334" s="1621"/>
      <c r="E334" s="1635"/>
      <c r="F334" s="1636"/>
      <c r="G334" s="1636"/>
      <c r="H334" s="1636"/>
    </row>
    <row r="335" spans="1:8" ht="15.75">
      <c r="A335" s="1619" t="s">
        <v>1106</v>
      </c>
      <c r="B335" s="1619"/>
      <c r="C335" s="1619"/>
      <c r="D335" s="1619"/>
    </row>
    <row r="336" spans="1:8" ht="78.95" customHeight="1">
      <c r="A336" s="1619" t="s">
        <v>1116</v>
      </c>
      <c r="B336" s="1621"/>
      <c r="C336" s="1621"/>
      <c r="D336" s="1621"/>
      <c r="E336" s="1635"/>
      <c r="F336" s="1636"/>
      <c r="G336" s="1636"/>
      <c r="H336" s="1636"/>
    </row>
    <row r="337" spans="1:8" ht="48" customHeight="1">
      <c r="A337" s="1619" t="s">
        <v>738</v>
      </c>
      <c r="B337" s="1621"/>
      <c r="C337" s="1621"/>
      <c r="D337" s="1621"/>
      <c r="E337" s="1635"/>
      <c r="F337" s="1636"/>
      <c r="G337" s="1636"/>
      <c r="H337" s="1636"/>
    </row>
    <row r="338" spans="1:8" ht="15.75">
      <c r="A338" s="1619" t="s">
        <v>1107</v>
      </c>
      <c r="B338" s="1621"/>
      <c r="C338" s="1621"/>
      <c r="D338" s="1621"/>
      <c r="E338" s="1635"/>
      <c r="F338" s="1636"/>
      <c r="G338" s="1636"/>
      <c r="H338" s="1636"/>
    </row>
    <row r="339" spans="1:8" ht="32.1" customHeight="1">
      <c r="A339" s="1619" t="s">
        <v>1108</v>
      </c>
      <c r="B339" s="1621"/>
      <c r="C339" s="1621"/>
      <c r="D339" s="1621"/>
      <c r="E339" s="1635"/>
      <c r="F339" s="1636"/>
      <c r="G339" s="1636"/>
      <c r="H339" s="1636"/>
    </row>
    <row r="340" spans="1:8" ht="15.75">
      <c r="A340" s="1619" t="s">
        <v>1109</v>
      </c>
      <c r="B340" s="1621"/>
      <c r="C340" s="1621"/>
      <c r="D340" s="1621"/>
      <c r="E340" s="1635"/>
      <c r="F340" s="1636"/>
      <c r="G340" s="1636"/>
      <c r="H340" s="1636"/>
    </row>
    <row r="341" spans="1:8" ht="15.75">
      <c r="A341" s="1619" t="s">
        <v>1117</v>
      </c>
      <c r="B341" s="1621"/>
      <c r="C341" s="1621"/>
      <c r="D341" s="1621"/>
      <c r="E341" s="1635"/>
      <c r="F341" s="1636"/>
      <c r="G341" s="1636"/>
      <c r="H341" s="1636"/>
    </row>
    <row r="342" spans="1:8" ht="32.1" customHeight="1">
      <c r="A342" s="1619" t="s">
        <v>739</v>
      </c>
      <c r="B342" s="1621"/>
      <c r="C342" s="1621"/>
      <c r="D342" s="1621"/>
      <c r="E342" s="1635"/>
      <c r="F342" s="1636"/>
      <c r="G342" s="1636"/>
      <c r="H342" s="1636"/>
    </row>
    <row r="343" spans="1:8" ht="15.75">
      <c r="A343" s="1619" t="s">
        <v>740</v>
      </c>
      <c r="B343" s="1621"/>
      <c r="C343" s="1621"/>
      <c r="D343" s="1621"/>
      <c r="E343" s="1635"/>
      <c r="F343" s="1636"/>
      <c r="G343" s="1636"/>
      <c r="H343" s="1636"/>
    </row>
    <row r="344" spans="1:8" ht="15.75">
      <c r="A344" s="1619" t="s">
        <v>1075</v>
      </c>
      <c r="B344" s="1621"/>
      <c r="C344" s="1621"/>
      <c r="D344" s="1621"/>
    </row>
    <row r="345" spans="1:8" ht="15.75">
      <c r="A345" s="1619" t="s">
        <v>1076</v>
      </c>
      <c r="B345" s="1621"/>
      <c r="C345" s="1621"/>
      <c r="D345" s="1621"/>
    </row>
    <row r="346" spans="1:8" ht="15.75">
      <c r="A346" s="1619" t="s">
        <v>741</v>
      </c>
      <c r="B346" s="1621"/>
      <c r="C346" s="1621"/>
      <c r="D346" s="1621"/>
    </row>
    <row r="347" spans="1:8" ht="63" customHeight="1">
      <c r="A347" s="1619" t="s">
        <v>1077</v>
      </c>
      <c r="B347" s="1621"/>
      <c r="C347" s="1621"/>
      <c r="D347" s="1621"/>
    </row>
    <row r="348" spans="1:8" ht="32.1" customHeight="1">
      <c r="A348" s="1619" t="s">
        <v>1078</v>
      </c>
      <c r="B348" s="1621"/>
      <c r="C348" s="1621"/>
      <c r="D348" s="1621"/>
    </row>
    <row r="349" spans="1:8" ht="63" customHeight="1">
      <c r="A349" s="1619" t="s">
        <v>1110</v>
      </c>
      <c r="B349" s="1621"/>
      <c r="C349" s="1621"/>
      <c r="D349" s="1621"/>
    </row>
    <row r="350" spans="1:8" ht="32.1" customHeight="1">
      <c r="A350" s="1619" t="s">
        <v>742</v>
      </c>
      <c r="B350" s="1621"/>
      <c r="C350" s="1621"/>
      <c r="D350" s="1621"/>
    </row>
    <row r="351" spans="1:8" ht="15.75">
      <c r="A351" s="1619" t="s">
        <v>1643</v>
      </c>
      <c r="B351" s="1621"/>
      <c r="C351" s="1621"/>
      <c r="D351" s="1621"/>
    </row>
    <row r="352" spans="1:8" ht="32.1" customHeight="1">
      <c r="A352" s="1619" t="s">
        <v>1644</v>
      </c>
      <c r="B352" s="1621"/>
      <c r="C352" s="1621"/>
      <c r="D352" s="1621"/>
    </row>
    <row r="353" spans="1:4" ht="15.75">
      <c r="A353" s="809"/>
      <c r="B353" s="810"/>
      <c r="C353" s="810"/>
      <c r="D353" s="810"/>
    </row>
    <row r="354" spans="1:4" ht="15.75">
      <c r="A354" s="809"/>
      <c r="B354" s="810"/>
      <c r="C354" s="810"/>
      <c r="D354" s="810"/>
    </row>
    <row r="355" spans="1:4" ht="15.75">
      <c r="A355" s="809"/>
      <c r="B355" s="810"/>
      <c r="C355" s="810"/>
      <c r="D355" s="810"/>
    </row>
    <row r="356" spans="1:4" ht="15.75">
      <c r="A356" s="809"/>
      <c r="B356" s="810"/>
      <c r="C356" s="810"/>
      <c r="D356" s="810"/>
    </row>
    <row r="357" spans="1:4" ht="15.75">
      <c r="A357" s="809"/>
      <c r="B357" s="810"/>
      <c r="C357" s="810"/>
      <c r="D357" s="810"/>
    </row>
    <row r="358" spans="1:4" ht="15.75">
      <c r="A358" s="809"/>
      <c r="B358" s="810"/>
      <c r="C358" s="810"/>
      <c r="D358" s="810"/>
    </row>
    <row r="359" spans="1:4" ht="15.75">
      <c r="A359" s="811"/>
      <c r="B359" s="810"/>
      <c r="C359" s="810"/>
      <c r="D359" s="810"/>
    </row>
    <row r="360" spans="1:4" ht="15.75">
      <c r="A360" s="809" t="s">
        <v>3</v>
      </c>
      <c r="B360" s="810"/>
      <c r="C360" s="810"/>
      <c r="D360" s="810"/>
    </row>
    <row r="361" spans="1:4" ht="15.75">
      <c r="A361" s="812"/>
      <c r="B361" s="810"/>
      <c r="C361" s="810"/>
      <c r="D361" s="810"/>
    </row>
    <row r="362" spans="1:4" ht="15.75">
      <c r="A362" s="812"/>
      <c r="B362" s="810"/>
      <c r="C362" s="810"/>
      <c r="D362" s="810"/>
    </row>
    <row r="363" spans="1:4" ht="15.75">
      <c r="A363" s="812"/>
      <c r="B363" s="810"/>
      <c r="C363" s="810"/>
      <c r="D363" s="810"/>
    </row>
    <row r="364" spans="1:4" ht="15.75">
      <c r="A364" s="812"/>
      <c r="B364" s="810"/>
      <c r="C364" s="810"/>
      <c r="D364" s="810"/>
    </row>
    <row r="365" spans="1:4" ht="15.75">
      <c r="A365" s="812"/>
      <c r="B365" s="810"/>
      <c r="C365" s="810"/>
      <c r="D365" s="810"/>
    </row>
    <row r="366" spans="1:4" ht="15.75">
      <c r="A366" s="812"/>
      <c r="B366" s="810"/>
      <c r="C366" s="810"/>
      <c r="D366" s="810"/>
    </row>
    <row r="367" spans="1:4" ht="15.75">
      <c r="A367" s="812"/>
      <c r="B367" s="810"/>
      <c r="C367" s="810"/>
      <c r="D367" s="810"/>
    </row>
    <row r="368" spans="1:4" ht="15.75">
      <c r="A368" s="812"/>
      <c r="B368" s="810"/>
      <c r="C368" s="810"/>
      <c r="D368" s="810"/>
    </row>
    <row r="369" spans="1:4" ht="15.75">
      <c r="A369" s="812"/>
      <c r="B369" s="810"/>
      <c r="C369" s="810"/>
      <c r="D369" s="810"/>
    </row>
    <row r="370" spans="1:4" ht="15.75">
      <c r="A370" s="812"/>
      <c r="B370" s="810"/>
      <c r="C370" s="810"/>
      <c r="D370" s="810"/>
    </row>
    <row r="371" spans="1:4" ht="15.75">
      <c r="A371" s="812"/>
      <c r="B371" s="810"/>
      <c r="C371" s="810"/>
      <c r="D371" s="810"/>
    </row>
    <row r="372" spans="1:4" ht="15.75">
      <c r="A372" s="812"/>
      <c r="B372" s="810"/>
      <c r="C372" s="810"/>
      <c r="D372" s="810"/>
    </row>
    <row r="373" spans="1:4" ht="15.75">
      <c r="A373" s="812"/>
      <c r="B373" s="810"/>
      <c r="C373" s="810"/>
      <c r="D373" s="810"/>
    </row>
    <row r="374" spans="1:4" ht="15.75">
      <c r="A374" s="812"/>
      <c r="B374" s="810"/>
      <c r="C374" s="810"/>
      <c r="D374" s="810"/>
    </row>
    <row r="375" spans="1:4" ht="15.75">
      <c r="A375" s="812"/>
      <c r="B375" s="810"/>
      <c r="C375" s="810"/>
      <c r="D375" s="810"/>
    </row>
    <row r="376" spans="1:4" ht="15.75">
      <c r="A376" s="812"/>
      <c r="B376" s="810"/>
      <c r="C376" s="810"/>
      <c r="D376" s="810"/>
    </row>
    <row r="377" spans="1:4" ht="15.75">
      <c r="A377" s="812"/>
      <c r="B377" s="810"/>
      <c r="C377" s="810"/>
      <c r="D377" s="810"/>
    </row>
    <row r="378" spans="1:4" ht="15.75">
      <c r="A378" s="812"/>
      <c r="B378" s="810"/>
      <c r="C378" s="810"/>
      <c r="D378" s="810"/>
    </row>
    <row r="379" spans="1:4" ht="15.75">
      <c r="A379" s="812"/>
      <c r="B379" s="810"/>
      <c r="C379" s="810"/>
      <c r="D379" s="810"/>
    </row>
    <row r="380" spans="1:4" ht="15.75">
      <c r="A380" s="812"/>
      <c r="B380" s="810"/>
      <c r="C380" s="810"/>
      <c r="D380" s="810"/>
    </row>
    <row r="381" spans="1:4" ht="15.75">
      <c r="A381" s="812"/>
      <c r="B381" s="810"/>
      <c r="C381" s="810"/>
      <c r="D381" s="810"/>
    </row>
    <row r="382" spans="1:4" ht="15.75">
      <c r="A382" s="812"/>
      <c r="B382" s="810"/>
      <c r="C382" s="810"/>
      <c r="D382" s="810"/>
    </row>
    <row r="383" spans="1:4" ht="15.75">
      <c r="A383" s="812"/>
      <c r="B383" s="810"/>
      <c r="C383" s="810"/>
      <c r="D383" s="810"/>
    </row>
    <row r="384" spans="1:4" ht="15.75">
      <c r="A384" s="812"/>
      <c r="B384" s="810"/>
      <c r="C384" s="810"/>
      <c r="D384" s="810"/>
    </row>
    <row r="385" spans="1:4" ht="15.75">
      <c r="A385" s="812"/>
      <c r="B385" s="810"/>
      <c r="C385" s="810"/>
      <c r="D385" s="810"/>
    </row>
    <row r="386" spans="1:4" ht="15.75">
      <c r="A386" s="812"/>
      <c r="B386" s="810"/>
      <c r="C386" s="810"/>
      <c r="D386" s="810"/>
    </row>
    <row r="387" spans="1:4" ht="15.75">
      <c r="A387" s="812"/>
      <c r="B387" s="810"/>
      <c r="C387" s="810"/>
      <c r="D387" s="810"/>
    </row>
    <row r="388" spans="1:4" ht="15.75">
      <c r="A388" s="812"/>
      <c r="B388" s="810"/>
      <c r="C388" s="810"/>
      <c r="D388" s="810"/>
    </row>
    <row r="389" spans="1:4" ht="15.75">
      <c r="A389" s="812"/>
      <c r="B389" s="810"/>
      <c r="C389" s="810"/>
      <c r="D389" s="810"/>
    </row>
    <row r="390" spans="1:4" ht="15.75">
      <c r="A390" s="812"/>
      <c r="B390" s="810"/>
      <c r="C390" s="810"/>
      <c r="D390" s="810"/>
    </row>
    <row r="391" spans="1:4" ht="15.75">
      <c r="A391" s="812"/>
      <c r="B391" s="810"/>
      <c r="C391" s="810"/>
      <c r="D391" s="810"/>
    </row>
    <row r="392" spans="1:4" ht="15.75">
      <c r="A392" s="812"/>
      <c r="B392" s="810"/>
      <c r="C392" s="810"/>
      <c r="D392" s="810"/>
    </row>
    <row r="393" spans="1:4" ht="15.75">
      <c r="A393" s="812"/>
      <c r="B393" s="810"/>
      <c r="C393" s="810"/>
      <c r="D393" s="810"/>
    </row>
    <row r="394" spans="1:4" ht="15.75">
      <c r="A394" s="812"/>
      <c r="B394" s="810"/>
      <c r="C394" s="810"/>
      <c r="D394" s="810"/>
    </row>
    <row r="395" spans="1:4" ht="15.75">
      <c r="A395" s="812"/>
      <c r="B395" s="810"/>
      <c r="C395" s="810"/>
      <c r="D395" s="810"/>
    </row>
    <row r="396" spans="1:4" ht="18.75">
      <c r="A396" s="1624" t="s">
        <v>580</v>
      </c>
      <c r="B396" s="1624"/>
      <c r="C396" s="1624"/>
      <c r="D396" s="1624"/>
    </row>
    <row r="397" spans="1:4" ht="18.75">
      <c r="A397" s="944" t="s">
        <v>186</v>
      </c>
      <c r="B397" s="944" t="s">
        <v>562</v>
      </c>
      <c r="C397" s="944" t="s">
        <v>564</v>
      </c>
      <c r="D397" s="944" t="s">
        <v>563</v>
      </c>
    </row>
    <row r="398" spans="1:4" ht="48" customHeight="1">
      <c r="A398" s="815" t="str">
        <f>IF('جدول السداد'!$A$39=0,"",'جدول السداد'!$A$39)</f>
        <v/>
      </c>
      <c r="B398" s="815" t="str">
        <f>IF('جدول السداد'!$F$39=0,"",'جدول السداد'!$F$39)</f>
        <v/>
      </c>
      <c r="C398" s="815" t="str">
        <f>IF('جدول السداد'!$K$39=0,"",'جدول السداد'!$K$39)</f>
        <v/>
      </c>
      <c r="D398" s="815">
        <f>IF('جدول السداد'!$I$39=0,"",'جدول السداد'!$I$39)</f>
        <v>2015</v>
      </c>
    </row>
    <row r="399" spans="1:4" ht="48" customHeight="1">
      <c r="A399" s="815" t="str">
        <f>IF('جدول السداد'!$A$40=0,"",'جدول السداد'!$A$40)</f>
        <v/>
      </c>
      <c r="B399" s="815" t="str">
        <f>IF('جدول السداد'!$F$40=0,"",'جدول السداد'!$F$40)</f>
        <v/>
      </c>
      <c r="C399" s="815" t="str">
        <f>IF('جدول السداد'!$K$40=0,"",'جدول السداد'!$K$40)</f>
        <v/>
      </c>
      <c r="D399" s="815" t="str">
        <f>IF('جدول السداد'!$I$40=0,"",'جدول السداد'!$I$40)</f>
        <v/>
      </c>
    </row>
    <row r="400" spans="1:4" ht="48" customHeight="1">
      <c r="A400" s="815" t="str">
        <f>IF('جدول السداد'!$A$41=0,"",'جدول السداد'!$A$41)</f>
        <v/>
      </c>
      <c r="B400" s="815" t="str">
        <f>IF('جدول السداد'!$F$41=0,"",'جدول السداد'!$F$41)</f>
        <v/>
      </c>
      <c r="C400" s="815" t="str">
        <f>IF('جدول السداد'!$K$41=0,"",'جدول السداد'!$K$41)</f>
        <v/>
      </c>
      <c r="D400" s="815" t="str">
        <f>IF('جدول السداد'!$I$41=0,"",'جدول السداد'!$I$41)</f>
        <v/>
      </c>
    </row>
    <row r="401" spans="1:4" ht="48" customHeight="1">
      <c r="A401" s="815" t="str">
        <f>IF('جدول السداد'!$A$42=0,"",'جدول السداد'!$A$42)</f>
        <v/>
      </c>
      <c r="B401" s="815" t="str">
        <f>IF('جدول السداد'!$F$42=0,"",'جدول السداد'!$F$42)</f>
        <v/>
      </c>
      <c r="C401" s="815" t="str">
        <f>IF('جدول السداد'!$K$42=0,"",'جدول السداد'!$K$42)</f>
        <v/>
      </c>
      <c r="D401" s="815" t="str">
        <f>IF('جدول السداد'!$I$42=0,"",'جدول السداد'!$I$42)</f>
        <v/>
      </c>
    </row>
    <row r="402" spans="1:4" ht="48" customHeight="1">
      <c r="A402" s="815" t="str">
        <f>IF('جدول السداد'!$A$43=0,"",'جدول السداد'!$A$43)</f>
        <v/>
      </c>
      <c r="B402" s="815" t="str">
        <f>IF('جدول السداد'!$F$43=0,"",'جدول السداد'!$F$43)</f>
        <v/>
      </c>
      <c r="C402" s="815" t="str">
        <f>IF('جدول السداد'!$K$43=0,"",'جدول السداد'!$K$43)</f>
        <v/>
      </c>
      <c r="D402" s="815" t="str">
        <f>IF('جدول السداد'!$I$43=0,"",'جدول السداد'!$I$43)</f>
        <v/>
      </c>
    </row>
    <row r="403" spans="1:4" ht="15.75">
      <c r="A403" s="812"/>
      <c r="B403" s="810"/>
      <c r="C403" s="810"/>
      <c r="D403" s="810"/>
    </row>
    <row r="404" spans="1:4" ht="24.95" customHeight="1">
      <c r="A404" s="1572" t="s">
        <v>1001</v>
      </c>
      <c r="B404" s="1572"/>
      <c r="C404" s="1572"/>
      <c r="D404" s="1572"/>
    </row>
    <row r="405" spans="1:4" ht="15.75" customHeight="1">
      <c r="A405" s="868" t="str">
        <f>"التاريخ: "&amp;TEXT('مدخلات العقود'!$J$15,"dd/mm/yyyy")</f>
        <v>التاريخ: 00/01/1900</v>
      </c>
      <c r="B405" s="871" t="str">
        <f>"الرقم: "&amp;'مدخلات العقود'!$J$14</f>
        <v xml:space="preserve">الرقم: </v>
      </c>
      <c r="C405" s="1646" t="s">
        <v>1035</v>
      </c>
      <c r="D405" s="1646"/>
    </row>
    <row r="406" spans="1:4" ht="32.1" customHeight="1">
      <c r="A406" s="1637" t="s">
        <v>1079</v>
      </c>
      <c r="B406" s="1637"/>
      <c r="C406" s="1637"/>
      <c r="D406" s="1637"/>
    </row>
    <row r="407" spans="1:4" ht="15.75" customHeight="1">
      <c r="A407" s="1638" t="s">
        <v>651</v>
      </c>
      <c r="B407" s="1639"/>
      <c r="C407" s="1639"/>
      <c r="D407" s="1640"/>
    </row>
    <row r="408" spans="1:4" ht="32.1" customHeight="1">
      <c r="A408" s="1631" t="str">
        <f>"السيد/ السيدة: "&amp;'مدخلات العقود'!$B$2&amp;"، حامل هوية رقم: "&amp;'مدخلات العقود'!$D$2&amp;"، والصادرة في: "&amp;'مدخلات العقود'!$F$2&amp;"، بتاريخ: "&amp;TEXT('مدخلات العقود'!$H$2,"dd/mm/yyyy")&amp;"، وعنوانة لغايات التبليغ: "&amp;'مدخلات العقود'!$J$2&amp;"، ورقم هاتفه: "&amp;'مدخلات العقود'!$L$2</f>
        <v>السيد/ السيدة: 0، حامل هوية رقم: 0، والصادرة في: ، بتاريخ: 00/01/1900، وعنوانة لغايات التبليغ:  -  -  - ، ورقم هاتفه: 0</v>
      </c>
      <c r="B408" s="1641"/>
      <c r="C408" s="1641"/>
      <c r="D408" s="1641"/>
    </row>
    <row r="409" spans="1:4" ht="15.75">
      <c r="A409" s="1620"/>
      <c r="B409" s="1621"/>
      <c r="C409" s="1621"/>
      <c r="D409" s="1621"/>
    </row>
    <row r="410" spans="1:4" ht="15.75">
      <c r="A410" s="1642" t="s">
        <v>652</v>
      </c>
      <c r="B410" s="1643"/>
      <c r="C410" s="1644"/>
      <c r="D410" s="1644"/>
    </row>
    <row r="411" spans="1:4" ht="35.1" customHeight="1">
      <c r="A411" s="806" t="s">
        <v>635</v>
      </c>
      <c r="B411" s="1631" t="str">
        <f>"السيد/ السيدة: "&amp;'مدخلات العقود'!$B$4&amp;"، حامل هوية رقم: "&amp;'مدخلات العقود'!$D$4&amp;"، والصادرة في "&amp;'مدخلات العقود'!$F$4&amp;"، بتاريخ "&amp;TEXT('مدخلات العقود'!$H$4,"dd/mm/yyyy")&amp;"، وعنوانه لغايات التبليغ "&amp;'مدخلات العقود'!$J$4&amp;"، ورقم هاتفه"&amp;'مدخلات العقود'!$L$4</f>
        <v>السيد/ السيدة: لا يوجد، حامل هوية رقم: لا يوجد، والصادرة في ، بتاريخ 00/01/1900، وعنوانه لغايات التبليغ لا يوجد، ورقم هاتفه لا يوجد</v>
      </c>
      <c r="C411" s="1631"/>
      <c r="D411" s="1631"/>
    </row>
    <row r="412" spans="1:4" ht="35.1" customHeight="1">
      <c r="A412" s="806" t="s">
        <v>636</v>
      </c>
      <c r="B412" s="1631" t="str">
        <f>"السيد/ السيدة: "&amp;'مدخلات العقود'!$B$5&amp;"، حامل هوية رقم: "&amp;'مدخلات العقود'!$D$5&amp;"، والصادرة في "&amp;'مدخلات العقود'!$F$5&amp;"، بتاريخ "&amp;TEXT('مدخلات العقود'!$H$5,"dd/mm/yyyy")&amp;"، وعنوانه لغايات التبليغ "&amp;'مدخلات العقود'!$J$5&amp;"، ورقم هاتفه"&amp;'مدخلات العقود'!$L$5</f>
        <v>السيد/ السيدة: لا يوجد، حامل هوية رقم: لا يوجد، والصادرة في ، بتاريخ 00/01/1900، وعنوانه لغايات التبليغ لا يوجد، ورقم هاتفه لا يوجد</v>
      </c>
      <c r="C412" s="1631"/>
      <c r="D412" s="1631"/>
    </row>
    <row r="413" spans="1:4" ht="35.1" customHeight="1">
      <c r="A413" s="806" t="s">
        <v>637</v>
      </c>
      <c r="B413" s="1631" t="str">
        <f>"السيد/ السيدة: "&amp;'مدخلات العقود'!$B$6&amp;"، حامل هوية رقم: "&amp;'مدخلات العقود'!$D$6&amp;"، والصادرة في "&amp;'مدخلات العقود'!$F$6&amp;"، بتاريخ "&amp;TEXT('مدخلات العقود'!$H$6,"dd/mm/yyyy")&amp;"، وعنوانه لغايات التبليغ "&amp;'مدخلات العقود'!$J$6&amp;"، ورقم هاتفه"&amp;'مدخلات العقود'!$L$6</f>
        <v>السيد/ السيدة: لا يوجد، حامل هوية رقم: لا يوجد، والصادرة في ، بتاريخ 00/01/1900، وعنوانه لغايات التبليغ لا يوجد، ورقم هاتفه لا يوجد</v>
      </c>
      <c r="C413" s="1631"/>
      <c r="D413" s="1631"/>
    </row>
    <row r="414" spans="1:4" ht="35.1" customHeight="1">
      <c r="A414" s="806" t="s">
        <v>638</v>
      </c>
      <c r="B414" s="1631" t="str">
        <f>"السيد/ السيدة: "&amp;'مدخلات العقود'!$B$7&amp;"، حامل هوية رقم: "&amp;'مدخلات العقود'!$D$7&amp;"، والصادرة في "&amp;'مدخلات العقود'!$F$7&amp;"، بتاريخ "&amp;TEXT('مدخلات العقود'!$H$7,"dd/mm/yyyy")&amp;"، وعنوانه لغايات التبليغ "&amp;'مدخلات العقود'!$J$7&amp;"، ورقم هاتفه"&amp;'مدخلات العقود'!$L$7</f>
        <v>السيد/ السيدة: لا يوجد، حامل هوية رقم: لا يوجد، والصادرة في ، بتاريخ 00/01/1900، وعنوانه لغايات التبليغ لا يوجد، ورقم هاتفه لا يوجد</v>
      </c>
      <c r="C414" s="1631"/>
      <c r="D414" s="1631"/>
    </row>
    <row r="415" spans="1:4" ht="15.75">
      <c r="A415" s="1619" t="s">
        <v>1113</v>
      </c>
      <c r="B415" s="1619"/>
      <c r="C415" s="1619"/>
      <c r="D415" s="1619"/>
    </row>
    <row r="416" spans="1:4" ht="63" customHeight="1">
      <c r="A416" s="1619" t="s">
        <v>1112</v>
      </c>
      <c r="B416" s="1619"/>
      <c r="C416" s="1619"/>
      <c r="D416" s="1619"/>
    </row>
    <row r="417" spans="1:7" ht="15.75">
      <c r="A417" s="1620" t="s">
        <v>1080</v>
      </c>
      <c r="B417" s="1620"/>
      <c r="C417" s="1620"/>
      <c r="D417" s="1620"/>
    </row>
    <row r="418" spans="1:7" ht="15.75">
      <c r="A418" s="1620" t="s">
        <v>942</v>
      </c>
      <c r="B418" s="1620"/>
      <c r="C418" s="1620"/>
      <c r="D418" s="1620"/>
    </row>
    <row r="419" spans="1:7" ht="15.75">
      <c r="A419" s="1619" t="s">
        <v>943</v>
      </c>
      <c r="B419" s="1619"/>
      <c r="C419" s="1619"/>
      <c r="D419" s="1619"/>
    </row>
    <row r="420" spans="1:7" ht="32.1" customHeight="1">
      <c r="A420" s="1619" t="s">
        <v>653</v>
      </c>
      <c r="B420" s="1619"/>
      <c r="C420" s="1619"/>
      <c r="D420" s="1619"/>
    </row>
    <row r="421" spans="1:7" ht="32.1" customHeight="1">
      <c r="A421" s="1619" t="s">
        <v>1213</v>
      </c>
      <c r="B421" s="1619"/>
      <c r="C421" s="1619"/>
      <c r="D421" s="1619"/>
    </row>
    <row r="422" spans="1:7" ht="15.75">
      <c r="A422" s="1620" t="s">
        <v>654</v>
      </c>
      <c r="B422" s="1620"/>
      <c r="C422" s="1620"/>
      <c r="D422" s="1620"/>
    </row>
    <row r="423" spans="1:7" ht="15.75">
      <c r="A423" s="1628" t="s">
        <v>655</v>
      </c>
      <c r="B423" s="1628"/>
      <c r="C423" s="1628"/>
      <c r="D423" s="1628"/>
      <c r="E423" s="777"/>
      <c r="F423" s="777"/>
      <c r="G423" s="777"/>
    </row>
    <row r="424" spans="1:7" ht="15.75">
      <c r="A424" s="813" t="s">
        <v>588</v>
      </c>
      <c r="B424" s="1627" t="str">
        <f>'مدخلات العقود'!$F$12</f>
        <v/>
      </c>
      <c r="C424" s="1627"/>
      <c r="D424" s="1627"/>
      <c r="F424" s="773"/>
      <c r="G424" s="773"/>
    </row>
    <row r="425" spans="1:7" ht="15.75">
      <c r="A425" s="813" t="s">
        <v>917</v>
      </c>
      <c r="B425" s="1627" t="str">
        <f>'مدخلات العقود'!$J$12</f>
        <v/>
      </c>
      <c r="C425" s="1627"/>
      <c r="D425" s="1627"/>
      <c r="F425" s="773"/>
      <c r="G425" s="773"/>
    </row>
    <row r="426" spans="1:7" ht="15.75">
      <c r="A426" s="813" t="s">
        <v>589</v>
      </c>
      <c r="B426" s="1627">
        <f>'مدخلات العقود'!$H$12</f>
        <v>2015</v>
      </c>
      <c r="C426" s="1627"/>
      <c r="D426" s="1627"/>
      <c r="F426" s="773"/>
      <c r="G426" s="773"/>
    </row>
    <row r="427" spans="1:7" ht="15.75">
      <c r="A427" s="813" t="s">
        <v>1214</v>
      </c>
      <c r="B427" s="1627" t="str">
        <f>'مدخلات العقود'!$L$12</f>
        <v/>
      </c>
      <c r="C427" s="1627"/>
      <c r="D427" s="1627"/>
      <c r="F427" s="773"/>
      <c r="G427" s="773"/>
    </row>
    <row r="428" spans="1:7" ht="39.950000000000003" customHeight="1">
      <c r="A428" s="933" t="str">
        <f>"6.1 المورد للعين: "&amp;'مدخلات العقود'!$B$9</f>
        <v>6.1 المورد للعين: 0</v>
      </c>
      <c r="B428" s="1634" t="str">
        <f>"6.2 ورقم تسجيل/ حامل هوية رقم "&amp; 'مدخلات العقود'!$D$9&amp;"، الصادرة في "&amp;'مدخلات العقود'!$F$9&amp;"، بتاريخ "&amp;TEXT('مدخلات العقود'!$H$9,"dd/mm/yyyy")&amp;"، وعنوانة لغايات التبليغ "&amp;'مدخلات العقود'!$J$9&amp;"، ورقم هاتفه "&amp;'مدخلات العقود'!$L$9</f>
        <v>6.2 ورقم تسجيل/ حامل هوية رقم 0، الصادرة في ، بتاريخ 00/01/1900، وعنوانة لغايات التبليغ رام الله، ورقم هاتفه 0</v>
      </c>
      <c r="C428" s="1634"/>
      <c r="D428" s="1634"/>
      <c r="F428" s="782"/>
      <c r="G428" s="783"/>
    </row>
    <row r="429" spans="1:7" ht="15.75">
      <c r="A429" s="1631" t="str">
        <f>"7. مدة الاجارة: "&amp;'مدخلات العقود'!$B$14</f>
        <v>7. مدة الاجارة: 48 شهر</v>
      </c>
      <c r="B429" s="1631"/>
      <c r="C429" s="1631" t="str">
        <f>"8.غايات استعمال العين: "&amp;'مدخلات العقود'!$B$18</f>
        <v xml:space="preserve">8.غايات استعمال العين: </v>
      </c>
      <c r="D429" s="1631"/>
      <c r="E429" s="782"/>
      <c r="F429" s="782"/>
      <c r="G429" s="783"/>
    </row>
    <row r="430" spans="1:7" ht="15.75" customHeight="1">
      <c r="A430" s="1631" t="str">
        <f>"9.1 المبلغ الاجمالي شامل الضريبة للسداد: "&amp;TEXT('جدول السداد'!$O$35,"0,0")&amp;" "&amp;IF(FC=USD,USD,IF(FC=ILS,ILS,IF(FC=EUR,EUR)))</f>
        <v>9.1 المبلغ الاجمالي شامل الضريبة للسداد: 9,600 دولار</v>
      </c>
      <c r="B430" s="1631"/>
      <c r="C430" s="1631" t="str">
        <f>"9.2 عدد الدفعات الشهرية: "&amp;'مدخلات العقود'!$B$15</f>
        <v>9.2 عدد الدفعات الشهرية: 48 شهر</v>
      </c>
      <c r="D430" s="1631"/>
      <c r="E430" s="782"/>
      <c r="F430" s="782"/>
      <c r="G430" s="783"/>
    </row>
    <row r="431" spans="1:7" ht="15.75">
      <c r="A431" s="1631" t="str">
        <f>"10. مبلغ الدفعة المقدمة شاملة (ض.ق.م): "&amp;'مدخلات العقود'!$B$17</f>
        <v>10. مبلغ الدفعة المقدمة شاملة (ض.ق.م): -7,343 دولار</v>
      </c>
      <c r="B431" s="1631"/>
      <c r="C431" s="1631"/>
      <c r="D431" s="1631"/>
      <c r="E431" s="782"/>
      <c r="F431" s="782"/>
      <c r="G431" s="784"/>
    </row>
    <row r="432" spans="1:7" ht="15.75">
      <c r="A432" s="1631" t="s">
        <v>940</v>
      </c>
      <c r="B432" s="1631"/>
      <c r="C432" s="1631"/>
      <c r="D432" s="1631"/>
      <c r="E432" s="782"/>
      <c r="F432" s="782"/>
      <c r="G432" s="782"/>
    </row>
    <row r="433" spans="1:7" ht="15.75">
      <c r="A433" s="933" t="s">
        <v>644</v>
      </c>
      <c r="B433" s="807" t="str">
        <f>'مدخلات العقود'!$D$16</f>
        <v>/5/2021</v>
      </c>
      <c r="C433" s="933" t="s">
        <v>645</v>
      </c>
      <c r="D433" s="807" t="str">
        <f>'مدخلات العقود'!$D$17</f>
        <v>0/4/2025</v>
      </c>
      <c r="E433" s="782"/>
      <c r="F433" s="782"/>
      <c r="G433" s="782"/>
    </row>
    <row r="434" spans="1:7" ht="15.75">
      <c r="A434" s="1620" t="s">
        <v>656</v>
      </c>
      <c r="B434" s="1620"/>
      <c r="C434" s="1620"/>
      <c r="D434" s="1620"/>
    </row>
    <row r="435" spans="1:7" ht="15.75">
      <c r="A435" s="1619" t="s">
        <v>944</v>
      </c>
      <c r="B435" s="1621"/>
      <c r="C435" s="1621"/>
      <c r="D435" s="1621"/>
    </row>
    <row r="436" spans="1:7" ht="15.75">
      <c r="A436" s="1619" t="s">
        <v>657</v>
      </c>
      <c r="B436" s="1619"/>
      <c r="C436" s="1619"/>
      <c r="D436" s="1619"/>
    </row>
    <row r="437" spans="1:7" ht="15.75">
      <c r="A437" s="1619" t="s">
        <v>658</v>
      </c>
      <c r="B437" s="1619"/>
      <c r="C437" s="1619"/>
      <c r="D437" s="1619"/>
    </row>
    <row r="438" spans="1:7" ht="15.75">
      <c r="A438" s="1619" t="s">
        <v>659</v>
      </c>
      <c r="B438" s="1619"/>
      <c r="C438" s="1619"/>
      <c r="D438" s="1619"/>
    </row>
    <row r="439" spans="1:7" ht="15.75">
      <c r="A439" s="1619" t="s">
        <v>660</v>
      </c>
      <c r="B439" s="1621"/>
      <c r="C439" s="1621"/>
      <c r="D439" s="1621"/>
    </row>
    <row r="440" spans="1:7" ht="15.75">
      <c r="A440" s="1619" t="s">
        <v>1044</v>
      </c>
      <c r="B440" s="1621"/>
      <c r="C440" s="1621"/>
      <c r="D440" s="1621"/>
    </row>
    <row r="441" spans="1:7" ht="32.1" customHeight="1">
      <c r="A441" s="1619" t="s">
        <v>1532</v>
      </c>
      <c r="B441" s="1621"/>
      <c r="C441" s="1621"/>
      <c r="D441" s="1621"/>
    </row>
    <row r="442" spans="1:7" ht="32.1" customHeight="1">
      <c r="A442" s="1619" t="s">
        <v>1038</v>
      </c>
      <c r="B442" s="1621"/>
      <c r="C442" s="1621"/>
      <c r="D442" s="1621"/>
    </row>
    <row r="443" spans="1:7" ht="15.75">
      <c r="A443" s="1619" t="s">
        <v>1036</v>
      </c>
      <c r="B443" s="1621"/>
      <c r="C443" s="1621"/>
      <c r="D443" s="1621"/>
    </row>
    <row r="444" spans="1:7" ht="15.75">
      <c r="A444" s="1619" t="s">
        <v>1037</v>
      </c>
      <c r="B444" s="1621"/>
      <c r="C444" s="1621"/>
      <c r="D444" s="1621"/>
    </row>
    <row r="445" spans="1:7" ht="15.75">
      <c r="A445" s="1619" t="s">
        <v>661</v>
      </c>
      <c r="B445" s="1621"/>
      <c r="C445" s="1621"/>
      <c r="D445" s="1621"/>
    </row>
    <row r="446" spans="1:7" ht="15.75">
      <c r="A446" s="1619" t="s">
        <v>662</v>
      </c>
      <c r="B446" s="1621"/>
      <c r="C446" s="1621"/>
      <c r="D446" s="1621"/>
    </row>
    <row r="447" spans="1:7" ht="15.75">
      <c r="A447" s="1619" t="s">
        <v>945</v>
      </c>
      <c r="B447" s="1621"/>
      <c r="C447" s="1621"/>
      <c r="D447" s="1621"/>
    </row>
    <row r="448" spans="1:7" ht="15.75">
      <c r="A448" s="1619" t="s">
        <v>1039</v>
      </c>
      <c r="B448" s="1619"/>
      <c r="C448" s="1619"/>
      <c r="D448" s="1619"/>
    </row>
    <row r="449" spans="1:4" ht="15.75">
      <c r="A449" s="1620" t="s">
        <v>1081</v>
      </c>
      <c r="B449" s="1620"/>
      <c r="C449" s="1620"/>
      <c r="D449" s="1620"/>
    </row>
    <row r="450" spans="1:4" ht="15.75">
      <c r="A450" s="1619" t="s">
        <v>663</v>
      </c>
      <c r="B450" s="1619"/>
      <c r="C450" s="1619"/>
      <c r="D450" s="1619"/>
    </row>
    <row r="451" spans="1:4" ht="15.75">
      <c r="A451" s="1619" t="s">
        <v>1002</v>
      </c>
      <c r="B451" s="1619"/>
      <c r="C451" s="1619"/>
      <c r="D451" s="1619"/>
    </row>
    <row r="452" spans="1:4" ht="32.1" customHeight="1">
      <c r="A452" s="1619" t="s">
        <v>664</v>
      </c>
      <c r="B452" s="1619"/>
      <c r="C452" s="1619"/>
      <c r="D452" s="1619"/>
    </row>
    <row r="453" spans="1:4" ht="15.75">
      <c r="A453" s="1619" t="s">
        <v>665</v>
      </c>
      <c r="B453" s="1619"/>
      <c r="C453" s="1619"/>
      <c r="D453" s="1619"/>
    </row>
    <row r="454" spans="1:4" ht="15.75">
      <c r="A454" s="1619" t="s">
        <v>666</v>
      </c>
      <c r="B454" s="1619"/>
      <c r="C454" s="1619"/>
      <c r="D454" s="1619"/>
    </row>
    <row r="455" spans="1:4" ht="15.75">
      <c r="A455" s="1619" t="s">
        <v>1040</v>
      </c>
      <c r="B455" s="1619"/>
      <c r="C455" s="1619"/>
      <c r="D455" s="1619"/>
    </row>
    <row r="456" spans="1:4" ht="15.75">
      <c r="A456" s="1619" t="s">
        <v>667</v>
      </c>
      <c r="B456" s="1619"/>
      <c r="C456" s="1619"/>
      <c r="D456" s="1619"/>
    </row>
    <row r="457" spans="1:4" ht="15.75">
      <c r="A457" s="1619" t="s">
        <v>1041</v>
      </c>
      <c r="B457" s="1619"/>
      <c r="C457" s="1619"/>
      <c r="D457" s="1619"/>
    </row>
    <row r="458" spans="1:4" ht="15.75">
      <c r="A458" s="1619" t="s">
        <v>668</v>
      </c>
      <c r="B458" s="1619"/>
      <c r="C458" s="1619"/>
      <c r="D458" s="1619"/>
    </row>
    <row r="459" spans="1:4" ht="15.75">
      <c r="A459" s="1619" t="s">
        <v>669</v>
      </c>
      <c r="B459" s="1619"/>
      <c r="C459" s="1619"/>
      <c r="D459" s="1619"/>
    </row>
    <row r="460" spans="1:4" ht="15.75">
      <c r="A460" s="1619" t="s">
        <v>670</v>
      </c>
      <c r="B460" s="1619"/>
      <c r="C460" s="1619"/>
      <c r="D460" s="1619"/>
    </row>
    <row r="461" spans="1:4" ht="15.75">
      <c r="A461" s="1619" t="s">
        <v>671</v>
      </c>
      <c r="B461" s="1619"/>
      <c r="C461" s="1619"/>
      <c r="D461" s="1619"/>
    </row>
    <row r="462" spans="1:4" ht="15.75">
      <c r="A462" s="1619" t="s">
        <v>672</v>
      </c>
      <c r="B462" s="1619"/>
      <c r="C462" s="1619"/>
      <c r="D462" s="1619"/>
    </row>
    <row r="463" spans="1:4" ht="15.75">
      <c r="A463" s="1619" t="s">
        <v>673</v>
      </c>
      <c r="B463" s="1619"/>
      <c r="C463" s="1619"/>
      <c r="D463" s="1619"/>
    </row>
    <row r="464" spans="1:4" ht="15.75">
      <c r="A464" s="1619" t="s">
        <v>674</v>
      </c>
      <c r="B464" s="1619"/>
      <c r="C464" s="1619"/>
      <c r="D464" s="1619"/>
    </row>
    <row r="465" spans="1:4" ht="15.75">
      <c r="A465" s="1619" t="s">
        <v>1042</v>
      </c>
      <c r="B465" s="1619"/>
      <c r="C465" s="1619"/>
      <c r="D465" s="1619"/>
    </row>
    <row r="466" spans="1:4" ht="15.75">
      <c r="A466" s="1619" t="s">
        <v>675</v>
      </c>
      <c r="B466" s="1619"/>
      <c r="C466" s="1619"/>
      <c r="D466" s="1619"/>
    </row>
    <row r="467" spans="1:4" ht="15.75">
      <c r="A467" s="1620" t="s">
        <v>676</v>
      </c>
      <c r="B467" s="1620"/>
      <c r="C467" s="1620"/>
      <c r="D467" s="1620"/>
    </row>
    <row r="468" spans="1:4" ht="15.75">
      <c r="A468" s="1619" t="s">
        <v>1003</v>
      </c>
      <c r="B468" s="1619"/>
      <c r="C468" s="1619"/>
      <c r="D468" s="1619"/>
    </row>
    <row r="469" spans="1:4" ht="32.1" customHeight="1">
      <c r="A469" s="1619" t="s">
        <v>1004</v>
      </c>
      <c r="B469" s="1619"/>
      <c r="C469" s="1619"/>
      <c r="D469" s="1619"/>
    </row>
    <row r="470" spans="1:4" ht="15.75">
      <c r="A470" s="1619" t="s">
        <v>1082</v>
      </c>
      <c r="B470" s="1619"/>
      <c r="C470" s="1619"/>
      <c r="D470" s="1619"/>
    </row>
    <row r="471" spans="1:4" ht="48" customHeight="1">
      <c r="A471" s="1619" t="s">
        <v>1043</v>
      </c>
      <c r="B471" s="1619"/>
      <c r="C471" s="1619"/>
      <c r="D471" s="1619"/>
    </row>
    <row r="472" spans="1:4" ht="32.1" customHeight="1">
      <c r="A472" s="1619" t="s">
        <v>677</v>
      </c>
      <c r="B472" s="1619"/>
      <c r="C472" s="1619"/>
      <c r="D472" s="1619"/>
    </row>
    <row r="473" spans="1:4" ht="15.75">
      <c r="A473" s="1619" t="s">
        <v>678</v>
      </c>
      <c r="B473" s="1621"/>
      <c r="C473" s="1621"/>
      <c r="D473" s="1621"/>
    </row>
    <row r="474" spans="1:4" ht="15.75">
      <c r="A474" s="1619" t="s">
        <v>679</v>
      </c>
      <c r="B474" s="1619"/>
      <c r="C474" s="1619"/>
      <c r="D474" s="1619"/>
    </row>
    <row r="475" spans="1:4" ht="15.75">
      <c r="A475" s="1619" t="s">
        <v>680</v>
      </c>
      <c r="B475" s="1619"/>
      <c r="C475" s="1619"/>
      <c r="D475" s="1619"/>
    </row>
    <row r="476" spans="1:4" ht="15.75">
      <c r="A476" s="1619" t="s">
        <v>681</v>
      </c>
      <c r="B476" s="1619"/>
      <c r="C476" s="1619"/>
      <c r="D476" s="1619"/>
    </row>
    <row r="477" spans="1:4" ht="15.75">
      <c r="A477" s="1619" t="s">
        <v>682</v>
      </c>
      <c r="B477" s="1619"/>
      <c r="C477" s="1619"/>
      <c r="D477" s="1619"/>
    </row>
    <row r="478" spans="1:4" ht="15.75">
      <c r="A478" s="1619" t="s">
        <v>683</v>
      </c>
      <c r="B478" s="1619"/>
      <c r="C478" s="1619"/>
      <c r="D478" s="1619"/>
    </row>
    <row r="479" spans="1:4" ht="15.75">
      <c r="A479" s="1619" t="s">
        <v>684</v>
      </c>
      <c r="B479" s="1619"/>
      <c r="C479" s="1619"/>
      <c r="D479" s="1619"/>
    </row>
    <row r="480" spans="1:4" ht="48" customHeight="1">
      <c r="A480" s="1626" t="s">
        <v>685</v>
      </c>
      <c r="B480" s="1625"/>
      <c r="C480" s="1625"/>
      <c r="D480" s="1625"/>
    </row>
    <row r="481" spans="1:4" ht="15.75">
      <c r="A481" s="1619" t="s">
        <v>1083</v>
      </c>
      <c r="B481" s="1619"/>
      <c r="C481" s="1619"/>
      <c r="D481" s="1619"/>
    </row>
    <row r="482" spans="1:4" ht="48" customHeight="1">
      <c r="A482" s="1619" t="s">
        <v>1084</v>
      </c>
      <c r="B482" s="1619"/>
      <c r="C482" s="1619"/>
      <c r="D482" s="1619"/>
    </row>
    <row r="483" spans="1:4" ht="32.1" customHeight="1">
      <c r="A483" s="1619" t="s">
        <v>686</v>
      </c>
      <c r="B483" s="1619"/>
      <c r="C483" s="1619"/>
      <c r="D483" s="1619"/>
    </row>
    <row r="484" spans="1:4" ht="32.1" customHeight="1">
      <c r="A484" s="1619" t="s">
        <v>1114</v>
      </c>
      <c r="B484" s="1619"/>
      <c r="C484" s="1619"/>
      <c r="D484" s="1619"/>
    </row>
    <row r="485" spans="1:4" ht="32.1" customHeight="1">
      <c r="A485" s="1619" t="s">
        <v>687</v>
      </c>
      <c r="B485" s="1619"/>
      <c r="C485" s="1619"/>
      <c r="D485" s="1619"/>
    </row>
    <row r="486" spans="1:4" ht="32.1" customHeight="1">
      <c r="A486" s="1619" t="s">
        <v>1046</v>
      </c>
      <c r="B486" s="1619"/>
      <c r="C486" s="1619"/>
      <c r="D486" s="1619"/>
    </row>
    <row r="487" spans="1:4" ht="63" customHeight="1">
      <c r="A487" s="1619" t="s">
        <v>1047</v>
      </c>
      <c r="B487" s="1619"/>
      <c r="C487" s="1619"/>
      <c r="D487" s="1619"/>
    </row>
    <row r="488" spans="1:4" ht="32.1" customHeight="1">
      <c r="A488" s="1619" t="s">
        <v>1048</v>
      </c>
      <c r="B488" s="1619"/>
      <c r="C488" s="1619"/>
      <c r="D488" s="1619"/>
    </row>
    <row r="489" spans="1:4" ht="16.149999999999999" customHeight="1">
      <c r="A489" s="1619" t="s">
        <v>1654</v>
      </c>
      <c r="B489" s="1619"/>
      <c r="C489" s="1619"/>
      <c r="D489" s="1619"/>
    </row>
    <row r="490" spans="1:4" ht="15.75">
      <c r="A490" s="1620" t="s">
        <v>688</v>
      </c>
      <c r="B490" s="1620"/>
      <c r="C490" s="1620"/>
      <c r="D490" s="1620"/>
    </row>
    <row r="491" spans="1:4" ht="32.1" customHeight="1">
      <c r="A491" s="1619" t="s">
        <v>1049</v>
      </c>
      <c r="B491" s="1619"/>
      <c r="C491" s="1619"/>
      <c r="D491" s="1619"/>
    </row>
    <row r="492" spans="1:4" ht="15.75">
      <c r="A492" s="1625" t="s">
        <v>1085</v>
      </c>
      <c r="B492" s="1621"/>
      <c r="C492" s="1621"/>
      <c r="D492" s="1621"/>
    </row>
    <row r="493" spans="1:4" ht="15.75">
      <c r="A493" s="1625" t="s">
        <v>689</v>
      </c>
      <c r="B493" s="1621"/>
      <c r="C493" s="1621"/>
      <c r="D493" s="1621"/>
    </row>
    <row r="494" spans="1:4" ht="57.6" customHeight="1">
      <c r="A494" s="1626" t="s">
        <v>946</v>
      </c>
      <c r="B494" s="1621"/>
      <c r="C494" s="1621"/>
      <c r="D494" s="1621"/>
    </row>
    <row r="495" spans="1:4" ht="48" customHeight="1">
      <c r="A495" s="1626" t="s">
        <v>690</v>
      </c>
      <c r="B495" s="1621"/>
      <c r="C495" s="1621"/>
      <c r="D495" s="1621"/>
    </row>
    <row r="496" spans="1:4" ht="15.75">
      <c r="A496" s="1619" t="s">
        <v>1086</v>
      </c>
      <c r="B496" s="1621"/>
      <c r="C496" s="1621"/>
      <c r="D496" s="1621"/>
    </row>
    <row r="497" spans="1:4" ht="48" customHeight="1">
      <c r="A497" s="1619" t="s">
        <v>1050</v>
      </c>
      <c r="B497" s="1621"/>
      <c r="C497" s="1621"/>
      <c r="D497" s="1621"/>
    </row>
    <row r="498" spans="1:4" ht="15.75">
      <c r="A498" s="1619" t="s">
        <v>1087</v>
      </c>
      <c r="B498" s="1621"/>
      <c r="C498" s="1621"/>
      <c r="D498" s="1621"/>
    </row>
    <row r="499" spans="1:4" ht="15.75">
      <c r="A499" s="1619" t="s">
        <v>691</v>
      </c>
      <c r="B499" s="1621"/>
      <c r="C499" s="1621"/>
      <c r="D499" s="1621"/>
    </row>
    <row r="500" spans="1:4" ht="15.75">
      <c r="A500" s="1619" t="s">
        <v>1051</v>
      </c>
      <c r="B500" s="1621"/>
      <c r="C500" s="1621"/>
      <c r="D500" s="1621"/>
    </row>
    <row r="501" spans="1:4" ht="15.75">
      <c r="A501" s="1619" t="s">
        <v>692</v>
      </c>
      <c r="B501" s="1621"/>
      <c r="C501" s="1621"/>
      <c r="D501" s="1621"/>
    </row>
    <row r="502" spans="1:4" ht="15.75">
      <c r="A502" s="1619" t="s">
        <v>693</v>
      </c>
      <c r="B502" s="1621"/>
      <c r="C502" s="1621"/>
      <c r="D502" s="1621"/>
    </row>
    <row r="503" spans="1:4" ht="48" customHeight="1">
      <c r="A503" s="1619" t="s">
        <v>1052</v>
      </c>
      <c r="B503" s="1621"/>
      <c r="C503" s="1621"/>
      <c r="D503" s="1621"/>
    </row>
    <row r="504" spans="1:4" ht="15.75">
      <c r="A504" s="1620" t="s">
        <v>694</v>
      </c>
      <c r="B504" s="1621"/>
      <c r="C504" s="1621"/>
      <c r="D504" s="1621"/>
    </row>
    <row r="505" spans="1:4" ht="15.75">
      <c r="A505" s="1619" t="s">
        <v>695</v>
      </c>
      <c r="B505" s="1621"/>
      <c r="C505" s="1621"/>
      <c r="D505" s="1621"/>
    </row>
    <row r="506" spans="1:4" ht="32.1" customHeight="1">
      <c r="A506" s="1619" t="s">
        <v>1131</v>
      </c>
      <c r="B506" s="1621"/>
      <c r="C506" s="1621"/>
      <c r="D506" s="1621"/>
    </row>
    <row r="507" spans="1:4" ht="32.1" customHeight="1">
      <c r="A507" s="1619" t="s">
        <v>1053</v>
      </c>
      <c r="B507" s="1621"/>
      <c r="C507" s="1621"/>
      <c r="D507" s="1621"/>
    </row>
    <row r="508" spans="1:4" ht="15.75">
      <c r="A508" s="1619" t="s">
        <v>1054</v>
      </c>
      <c r="B508" s="1621"/>
      <c r="C508" s="1621"/>
      <c r="D508" s="1621"/>
    </row>
    <row r="509" spans="1:4" ht="32.1" customHeight="1">
      <c r="A509" s="1619" t="s">
        <v>696</v>
      </c>
      <c r="B509" s="1621"/>
      <c r="C509" s="1621"/>
      <c r="D509" s="1621"/>
    </row>
    <row r="510" spans="1:4" ht="32.1" customHeight="1">
      <c r="A510" s="1619" t="s">
        <v>697</v>
      </c>
      <c r="B510" s="1621"/>
      <c r="C510" s="1621"/>
      <c r="D510" s="1621"/>
    </row>
    <row r="511" spans="1:4" ht="15.75">
      <c r="A511" s="1619" t="s">
        <v>1055</v>
      </c>
      <c r="B511" s="1621"/>
      <c r="C511" s="1621"/>
      <c r="D511" s="1621"/>
    </row>
    <row r="512" spans="1:4" ht="32.1" customHeight="1">
      <c r="A512" s="1619" t="s">
        <v>698</v>
      </c>
      <c r="B512" s="1621"/>
      <c r="C512" s="1621"/>
      <c r="D512" s="1621"/>
    </row>
    <row r="513" spans="1:4" ht="15.75">
      <c r="A513" s="1619" t="s">
        <v>1088</v>
      </c>
      <c r="B513" s="1621"/>
      <c r="C513" s="1621"/>
      <c r="D513" s="1621"/>
    </row>
    <row r="514" spans="1:4" ht="60.6" customHeight="1">
      <c r="A514" s="1619" t="s">
        <v>1661</v>
      </c>
      <c r="B514" s="1621"/>
      <c r="C514" s="1621"/>
      <c r="D514" s="1621"/>
    </row>
    <row r="515" spans="1:4" ht="15.75">
      <c r="A515" s="1619" t="s">
        <v>1089</v>
      </c>
      <c r="B515" s="1621"/>
      <c r="C515" s="1621"/>
      <c r="D515" s="1621"/>
    </row>
    <row r="516" spans="1:4" ht="32.1" customHeight="1">
      <c r="A516" s="1619" t="s">
        <v>699</v>
      </c>
      <c r="B516" s="1621"/>
      <c r="C516" s="1621"/>
      <c r="D516" s="1621"/>
    </row>
    <row r="517" spans="1:4" ht="32.1" customHeight="1">
      <c r="A517" s="1619" t="s">
        <v>700</v>
      </c>
      <c r="B517" s="1621"/>
      <c r="C517" s="1621"/>
      <c r="D517" s="1621"/>
    </row>
    <row r="518" spans="1:4" ht="15.75">
      <c r="A518" s="1619" t="s">
        <v>1058</v>
      </c>
      <c r="B518" s="1621"/>
      <c r="C518" s="1621"/>
      <c r="D518" s="1621"/>
    </row>
    <row r="519" spans="1:4" ht="32.1" customHeight="1">
      <c r="A519" s="1619" t="s">
        <v>1057</v>
      </c>
      <c r="B519" s="1621"/>
      <c r="C519" s="1621"/>
      <c r="D519" s="1621"/>
    </row>
    <row r="520" spans="1:4" ht="15.75">
      <c r="A520" s="1619" t="s">
        <v>701</v>
      </c>
      <c r="B520" s="1621"/>
      <c r="C520" s="1621"/>
      <c r="D520" s="1621"/>
    </row>
    <row r="521" spans="1:4" ht="15.75">
      <c r="A521" s="1619" t="s">
        <v>1056</v>
      </c>
      <c r="B521" s="1621"/>
      <c r="C521" s="1621"/>
      <c r="D521" s="1621"/>
    </row>
    <row r="522" spans="1:4" ht="48" customHeight="1">
      <c r="A522" s="1619" t="s">
        <v>1059</v>
      </c>
      <c r="B522" s="1621"/>
      <c r="C522" s="1621"/>
      <c r="D522" s="1621"/>
    </row>
    <row r="523" spans="1:4" ht="15.75">
      <c r="A523" s="1620" t="s">
        <v>702</v>
      </c>
      <c r="B523" s="1621"/>
      <c r="C523" s="1621"/>
      <c r="D523" s="1621"/>
    </row>
    <row r="524" spans="1:4" ht="61.15" customHeight="1">
      <c r="A524" s="1619" t="s">
        <v>1005</v>
      </c>
      <c r="B524" s="1621"/>
      <c r="C524" s="1621"/>
      <c r="D524" s="1621"/>
    </row>
    <row r="525" spans="1:4" ht="15.75">
      <c r="A525" s="1619" t="s">
        <v>1006</v>
      </c>
      <c r="B525" s="1621"/>
      <c r="C525" s="1621"/>
      <c r="D525" s="1621"/>
    </row>
    <row r="526" spans="1:4" ht="15.75">
      <c r="A526" s="1619" t="s">
        <v>1007</v>
      </c>
      <c r="B526" s="1621"/>
      <c r="C526" s="1621"/>
      <c r="D526" s="1621"/>
    </row>
    <row r="527" spans="1:4" ht="48" customHeight="1">
      <c r="A527" s="1619" t="s">
        <v>1008</v>
      </c>
      <c r="B527" s="1621"/>
      <c r="C527" s="1621"/>
      <c r="D527" s="1621"/>
    </row>
    <row r="528" spans="1:4" ht="15.75">
      <c r="A528" s="1619" t="s">
        <v>1060</v>
      </c>
      <c r="B528" s="1621"/>
      <c r="C528" s="1621"/>
      <c r="D528" s="1621"/>
    </row>
    <row r="529" spans="1:8" ht="32.1" customHeight="1">
      <c r="A529" s="1619" t="s">
        <v>1009</v>
      </c>
      <c r="B529" s="1621"/>
      <c r="C529" s="1621"/>
      <c r="D529" s="1621"/>
    </row>
    <row r="530" spans="1:8" ht="32.1" customHeight="1">
      <c r="A530" s="1619" t="s">
        <v>1010</v>
      </c>
      <c r="B530" s="1621"/>
      <c r="C530" s="1621"/>
      <c r="D530" s="1621"/>
    </row>
    <row r="531" spans="1:8" ht="46.15" customHeight="1">
      <c r="A531" s="1619" t="s">
        <v>1656</v>
      </c>
      <c r="B531" s="1621"/>
      <c r="C531" s="1621"/>
      <c r="D531" s="1621"/>
      <c r="E531" s="1635"/>
      <c r="F531" s="1636"/>
      <c r="G531" s="1636"/>
      <c r="H531" s="1636"/>
    </row>
    <row r="532" spans="1:8" ht="15.75">
      <c r="A532" s="1619" t="s">
        <v>1090</v>
      </c>
      <c r="B532" s="1621"/>
      <c r="C532" s="1621"/>
      <c r="D532" s="1621"/>
      <c r="E532" s="1635"/>
      <c r="F532" s="1636"/>
      <c r="G532" s="1636"/>
      <c r="H532" s="1636"/>
    </row>
    <row r="533" spans="1:8" ht="32.1" customHeight="1">
      <c r="A533" s="1619" t="s">
        <v>1091</v>
      </c>
      <c r="B533" s="1621"/>
      <c r="C533" s="1621"/>
      <c r="D533" s="1621"/>
      <c r="E533" s="1635"/>
      <c r="F533" s="1636"/>
      <c r="G533" s="1636"/>
      <c r="H533" s="1636"/>
    </row>
    <row r="534" spans="1:8" ht="15.75">
      <c r="A534" s="868" t="s">
        <v>1092</v>
      </c>
      <c r="B534" s="808"/>
      <c r="C534" s="808"/>
      <c r="D534" s="808"/>
    </row>
    <row r="535" spans="1:8" ht="15.75">
      <c r="A535" s="1619" t="s">
        <v>1093</v>
      </c>
      <c r="B535" s="1621"/>
      <c r="C535" s="1621"/>
      <c r="D535" s="1621"/>
      <c r="E535" s="1635"/>
      <c r="F535" s="1636"/>
      <c r="G535" s="1636"/>
      <c r="H535" s="1636"/>
    </row>
    <row r="536" spans="1:8" ht="32.1" customHeight="1">
      <c r="A536" s="1619" t="s">
        <v>1061</v>
      </c>
      <c r="B536" s="1621"/>
      <c r="C536" s="1621"/>
      <c r="D536" s="1621"/>
      <c r="E536" s="1635"/>
      <c r="F536" s="1636"/>
      <c r="G536" s="1636"/>
      <c r="H536" s="1636"/>
    </row>
    <row r="537" spans="1:8" ht="32.1" customHeight="1">
      <c r="A537" s="1619" t="s">
        <v>703</v>
      </c>
      <c r="B537" s="1621"/>
      <c r="C537" s="1621"/>
      <c r="D537" s="1621"/>
      <c r="E537" s="1635"/>
      <c r="F537" s="1636"/>
      <c r="G537" s="1636"/>
      <c r="H537" s="1636"/>
    </row>
    <row r="538" spans="1:8" ht="32.1" customHeight="1">
      <c r="A538" s="1619" t="s">
        <v>704</v>
      </c>
      <c r="B538" s="1621"/>
      <c r="C538" s="1621"/>
      <c r="D538" s="1621"/>
      <c r="E538" s="1635"/>
      <c r="F538" s="1636"/>
      <c r="G538" s="1636"/>
      <c r="H538" s="1636"/>
    </row>
    <row r="539" spans="1:8" ht="15.75">
      <c r="A539" s="1619" t="s">
        <v>705</v>
      </c>
      <c r="B539" s="1621"/>
      <c r="C539" s="1621"/>
      <c r="D539" s="1621"/>
      <c r="E539" s="1635"/>
      <c r="F539" s="1636"/>
      <c r="G539" s="1636"/>
      <c r="H539" s="1636"/>
    </row>
    <row r="540" spans="1:8" ht="15.75">
      <c r="A540" s="1619" t="s">
        <v>706</v>
      </c>
      <c r="B540" s="1621"/>
      <c r="C540" s="1621"/>
      <c r="D540" s="1621"/>
      <c r="E540" s="1635"/>
      <c r="F540" s="1636"/>
      <c r="G540" s="1636"/>
      <c r="H540" s="1636"/>
    </row>
    <row r="541" spans="1:8" ht="15.75">
      <c r="A541" s="1619" t="s">
        <v>1094</v>
      </c>
      <c r="B541" s="1619"/>
      <c r="C541" s="1619"/>
      <c r="D541" s="1619"/>
    </row>
    <row r="542" spans="1:8" ht="32.1" customHeight="1">
      <c r="A542" s="1619" t="s">
        <v>707</v>
      </c>
      <c r="B542" s="1621"/>
      <c r="C542" s="1621"/>
      <c r="D542" s="1621"/>
      <c r="E542" s="1635"/>
      <c r="F542" s="1636"/>
      <c r="G542" s="1636"/>
      <c r="H542" s="1636"/>
    </row>
    <row r="543" spans="1:8" ht="15.75">
      <c r="A543" s="1620" t="s">
        <v>708</v>
      </c>
      <c r="B543" s="1620"/>
      <c r="C543" s="1620"/>
      <c r="D543" s="1620"/>
    </row>
    <row r="544" spans="1:8" ht="32.1" customHeight="1">
      <c r="A544" s="1619" t="s">
        <v>1062</v>
      </c>
      <c r="B544" s="1621"/>
      <c r="C544" s="1621"/>
      <c r="D544" s="1621"/>
      <c r="E544" s="1635"/>
      <c r="F544" s="1636"/>
      <c r="G544" s="1636"/>
      <c r="H544" s="1636"/>
    </row>
    <row r="545" spans="1:8" ht="63" customHeight="1">
      <c r="A545" s="1619" t="s">
        <v>1063</v>
      </c>
      <c r="B545" s="1621"/>
      <c r="C545" s="1621"/>
      <c r="D545" s="1621"/>
    </row>
    <row r="546" spans="1:8" ht="15.75">
      <c r="A546" s="1619" t="s">
        <v>709</v>
      </c>
      <c r="B546" s="1621"/>
      <c r="C546" s="1621"/>
      <c r="D546" s="1621"/>
      <c r="E546" s="1635"/>
      <c r="F546" s="1636"/>
      <c r="G546" s="1636"/>
      <c r="H546" s="1636"/>
    </row>
    <row r="547" spans="1:8" ht="32.1" customHeight="1">
      <c r="A547" s="1619" t="s">
        <v>710</v>
      </c>
      <c r="B547" s="1621"/>
      <c r="C547" s="1621"/>
      <c r="D547" s="1621"/>
      <c r="E547" s="1635"/>
      <c r="F547" s="1636"/>
      <c r="G547" s="1636"/>
      <c r="H547" s="1636"/>
    </row>
    <row r="548" spans="1:8" ht="15.75">
      <c r="A548" s="1620" t="s">
        <v>1095</v>
      </c>
      <c r="B548" s="1620"/>
      <c r="C548" s="1620"/>
      <c r="D548" s="1620"/>
    </row>
    <row r="549" spans="1:8" ht="15.75">
      <c r="A549" s="1619" t="s">
        <v>1064</v>
      </c>
      <c r="B549" s="1621"/>
      <c r="C549" s="1621"/>
      <c r="D549" s="1621"/>
      <c r="E549" s="1635"/>
      <c r="F549" s="1636"/>
      <c r="G549" s="1636"/>
      <c r="H549" s="1636"/>
    </row>
    <row r="550" spans="1:8" ht="15.75">
      <c r="A550" s="1619" t="s">
        <v>711</v>
      </c>
      <c r="B550" s="1621"/>
      <c r="C550" s="1621"/>
      <c r="D550" s="1621"/>
      <c r="E550" s="1635"/>
      <c r="F550" s="1636"/>
      <c r="G550" s="1636"/>
      <c r="H550" s="1636"/>
    </row>
    <row r="551" spans="1:8" ht="32.1" customHeight="1">
      <c r="A551" s="1619" t="s">
        <v>1096</v>
      </c>
      <c r="B551" s="1621"/>
      <c r="C551" s="1621"/>
      <c r="D551" s="1621"/>
      <c r="E551" s="1635"/>
      <c r="F551" s="1636"/>
      <c r="G551" s="1636"/>
      <c r="H551" s="1636"/>
    </row>
    <row r="552" spans="1:8" ht="15.75">
      <c r="A552" s="1645" t="s">
        <v>1097</v>
      </c>
      <c r="B552" s="1645"/>
      <c r="C552" s="1645"/>
      <c r="D552" s="1645"/>
    </row>
    <row r="553" spans="1:8" ht="15.75">
      <c r="A553" s="1619" t="s">
        <v>712</v>
      </c>
      <c r="B553" s="1621"/>
      <c r="C553" s="1621"/>
      <c r="D553" s="1621"/>
      <c r="E553" s="1635"/>
      <c r="F553" s="1636"/>
      <c r="G553" s="1636"/>
      <c r="H553" s="1636"/>
    </row>
    <row r="554" spans="1:8" ht="32.1" customHeight="1">
      <c r="A554" s="1619" t="s">
        <v>713</v>
      </c>
      <c r="B554" s="1621"/>
      <c r="C554" s="1621"/>
      <c r="D554" s="1621"/>
      <c r="E554" s="1635"/>
      <c r="F554" s="1636"/>
      <c r="G554" s="1636"/>
      <c r="H554" s="1636"/>
    </row>
    <row r="555" spans="1:8" ht="30.6" customHeight="1">
      <c r="A555" s="1619" t="s">
        <v>1658</v>
      </c>
      <c r="B555" s="1621"/>
      <c r="C555" s="1621"/>
      <c r="D555" s="1621"/>
      <c r="E555" s="1635"/>
      <c r="F555" s="1636"/>
      <c r="G555" s="1636"/>
      <c r="H555" s="1636"/>
    </row>
    <row r="556" spans="1:8" ht="48" customHeight="1">
      <c r="A556" s="1619" t="s">
        <v>1098</v>
      </c>
      <c r="B556" s="1621"/>
      <c r="C556" s="1621"/>
      <c r="D556" s="1621"/>
      <c r="E556" s="1635"/>
      <c r="F556" s="1636"/>
      <c r="G556" s="1636"/>
      <c r="H556" s="1636"/>
    </row>
    <row r="557" spans="1:8" ht="32.1" customHeight="1">
      <c r="A557" s="1619" t="s">
        <v>1216</v>
      </c>
      <c r="B557" s="1621"/>
      <c r="C557" s="1621"/>
      <c r="D557" s="1621"/>
      <c r="E557" s="1635"/>
      <c r="F557" s="1636"/>
      <c r="G557" s="1636"/>
      <c r="H557" s="1636"/>
    </row>
    <row r="558" spans="1:8" ht="15.75">
      <c r="A558" s="1620" t="s">
        <v>714</v>
      </c>
      <c r="B558" s="1621"/>
      <c r="C558" s="1621"/>
      <c r="D558" s="1621"/>
    </row>
    <row r="559" spans="1:8" ht="48" customHeight="1">
      <c r="A559" s="1619" t="s">
        <v>715</v>
      </c>
      <c r="B559" s="1621"/>
      <c r="C559" s="1621"/>
      <c r="D559" s="1621"/>
      <c r="E559" s="1635"/>
      <c r="F559" s="1636"/>
      <c r="G559" s="1636"/>
      <c r="H559" s="1636"/>
    </row>
    <row r="560" spans="1:8" ht="32.1" customHeight="1">
      <c r="A560" s="1619" t="s">
        <v>1217</v>
      </c>
      <c r="B560" s="1621"/>
      <c r="C560" s="1621"/>
      <c r="D560" s="1621"/>
      <c r="E560" s="1635"/>
      <c r="F560" s="1636"/>
      <c r="G560" s="1636"/>
      <c r="H560" s="1636"/>
    </row>
    <row r="561" spans="1:8" ht="15.75">
      <c r="A561" s="1619" t="s">
        <v>1065</v>
      </c>
      <c r="B561" s="1619"/>
      <c r="C561" s="1619"/>
      <c r="D561" s="1619"/>
      <c r="E561" s="781"/>
      <c r="F561" s="567"/>
      <c r="G561" s="567"/>
      <c r="H561" s="567"/>
    </row>
    <row r="562" spans="1:8" ht="32.1" customHeight="1">
      <c r="A562" s="1619" t="s">
        <v>716</v>
      </c>
      <c r="B562" s="1621"/>
      <c r="C562" s="1621"/>
      <c r="D562" s="1621"/>
      <c r="E562" s="1635"/>
      <c r="F562" s="1636"/>
      <c r="G562" s="1636"/>
      <c r="H562" s="1636"/>
    </row>
    <row r="563" spans="1:8" ht="15.75">
      <c r="A563" s="1619" t="s">
        <v>1218</v>
      </c>
      <c r="B563" s="1621"/>
      <c r="C563" s="1621"/>
      <c r="D563" s="1621"/>
      <c r="E563" s="1635"/>
      <c r="F563" s="1636"/>
      <c r="G563" s="1636"/>
      <c r="H563" s="1636"/>
    </row>
    <row r="564" spans="1:8" ht="32.1" customHeight="1">
      <c r="A564" s="1619" t="s">
        <v>717</v>
      </c>
      <c r="B564" s="1621"/>
      <c r="C564" s="1621"/>
      <c r="D564" s="1621"/>
      <c r="E564" s="1635"/>
      <c r="F564" s="1636"/>
      <c r="G564" s="1636"/>
      <c r="H564" s="1636"/>
    </row>
    <row r="565" spans="1:8" ht="48" customHeight="1">
      <c r="A565" s="1619" t="s">
        <v>1067</v>
      </c>
      <c r="B565" s="1621"/>
      <c r="C565" s="1621"/>
      <c r="D565" s="1621"/>
      <c r="E565" s="1635"/>
      <c r="F565" s="1636"/>
      <c r="G565" s="1636"/>
      <c r="H565" s="1636"/>
    </row>
    <row r="566" spans="1:8" ht="78.95" customHeight="1">
      <c r="A566" s="1619" t="s">
        <v>1066</v>
      </c>
      <c r="B566" s="1621"/>
      <c r="C566" s="1621"/>
      <c r="D566" s="1621"/>
      <c r="E566" s="1635"/>
      <c r="F566" s="1636"/>
      <c r="G566" s="1636"/>
      <c r="H566" s="1636"/>
    </row>
    <row r="567" spans="1:8" ht="78.95" customHeight="1">
      <c r="A567" s="1619" t="s">
        <v>1068</v>
      </c>
      <c r="B567" s="1621"/>
      <c r="C567" s="1621"/>
      <c r="D567" s="1621"/>
      <c r="E567" s="1635"/>
      <c r="F567" s="1636"/>
      <c r="G567" s="1636"/>
      <c r="H567" s="1636"/>
    </row>
    <row r="568" spans="1:8" ht="15.75">
      <c r="A568" s="1619" t="s">
        <v>1099</v>
      </c>
      <c r="B568" s="1619"/>
      <c r="C568" s="1619"/>
      <c r="D568" s="1619"/>
    </row>
    <row r="569" spans="1:8" ht="15.75">
      <c r="A569" s="1619" t="s">
        <v>718</v>
      </c>
      <c r="B569" s="1621"/>
      <c r="C569" s="1621"/>
      <c r="D569" s="1621"/>
      <c r="E569" s="1635"/>
      <c r="F569" s="1636"/>
      <c r="G569" s="1636"/>
      <c r="H569" s="1636"/>
    </row>
    <row r="570" spans="1:8" ht="15.75">
      <c r="A570" s="1619" t="s">
        <v>719</v>
      </c>
      <c r="B570" s="1621"/>
      <c r="C570" s="1621"/>
      <c r="D570" s="1621"/>
      <c r="E570" s="1635"/>
      <c r="F570" s="1636"/>
      <c r="G570" s="1636"/>
      <c r="H570" s="1636"/>
    </row>
    <row r="571" spans="1:8" ht="15.75">
      <c r="A571" s="1619" t="s">
        <v>1100</v>
      </c>
      <c r="B571" s="1621"/>
      <c r="C571" s="1621"/>
      <c r="D571" s="1621"/>
      <c r="E571" s="1635"/>
      <c r="F571" s="1636"/>
      <c r="G571" s="1636"/>
      <c r="H571" s="1636"/>
    </row>
    <row r="572" spans="1:8" ht="15.75">
      <c r="A572" s="1619" t="s">
        <v>720</v>
      </c>
      <c r="B572" s="1621"/>
      <c r="C572" s="1621"/>
      <c r="D572" s="1621"/>
      <c r="E572" s="1635"/>
      <c r="F572" s="1636"/>
      <c r="G572" s="1636"/>
      <c r="H572" s="1636"/>
    </row>
    <row r="573" spans="1:8" ht="48" customHeight="1">
      <c r="A573" s="1619" t="s">
        <v>1101</v>
      </c>
      <c r="B573" s="1619"/>
      <c r="C573" s="1619"/>
      <c r="D573" s="1619"/>
    </row>
    <row r="574" spans="1:8" ht="15.75">
      <c r="A574" s="1619" t="s">
        <v>721</v>
      </c>
      <c r="B574" s="1621"/>
      <c r="C574" s="1621"/>
      <c r="D574" s="1621"/>
      <c r="E574" s="1635"/>
      <c r="F574" s="1636"/>
      <c r="G574" s="1636"/>
      <c r="H574" s="1636"/>
    </row>
    <row r="575" spans="1:8" ht="95.1" customHeight="1">
      <c r="A575" s="1619" t="s">
        <v>1069</v>
      </c>
      <c r="B575" s="1621"/>
      <c r="C575" s="1621"/>
      <c r="D575" s="1621"/>
      <c r="E575" s="1635"/>
      <c r="F575" s="1636"/>
      <c r="G575" s="1636"/>
      <c r="H575" s="1636"/>
    </row>
    <row r="576" spans="1:8" ht="15.75">
      <c r="A576" s="1619" t="s">
        <v>1070</v>
      </c>
      <c r="B576" s="1621"/>
      <c r="C576" s="1621"/>
      <c r="D576" s="1621"/>
      <c r="E576" s="1635"/>
      <c r="F576" s="1636"/>
      <c r="G576" s="1636"/>
      <c r="H576" s="1636"/>
    </row>
    <row r="577" spans="1:8" ht="32.1" customHeight="1">
      <c r="A577" s="1619" t="s">
        <v>722</v>
      </c>
      <c r="B577" s="1621"/>
      <c r="C577" s="1621"/>
      <c r="D577" s="1621"/>
      <c r="E577" s="1635"/>
      <c r="F577" s="1636"/>
      <c r="G577" s="1636"/>
      <c r="H577" s="1636"/>
    </row>
    <row r="578" spans="1:8" ht="32.1" customHeight="1">
      <c r="A578" s="1619" t="s">
        <v>723</v>
      </c>
      <c r="B578" s="1621"/>
      <c r="C578" s="1621"/>
      <c r="D578" s="1621"/>
      <c r="E578" s="1635"/>
      <c r="F578" s="1636"/>
      <c r="G578" s="1636"/>
      <c r="H578" s="1636"/>
    </row>
    <row r="579" spans="1:8" ht="15.75">
      <c r="A579" s="1619" t="s">
        <v>1102</v>
      </c>
      <c r="B579" s="1619"/>
      <c r="C579" s="1619"/>
      <c r="D579" s="1619"/>
    </row>
    <row r="580" spans="1:8" ht="15.75">
      <c r="A580" s="1619" t="s">
        <v>1659</v>
      </c>
      <c r="B580" s="1621"/>
      <c r="C580" s="1621"/>
      <c r="D580" s="1621"/>
      <c r="E580" s="1635"/>
      <c r="F580" s="1636"/>
      <c r="G580" s="1636"/>
      <c r="H580" s="1636"/>
    </row>
    <row r="581" spans="1:8" ht="47.45" customHeight="1">
      <c r="A581" s="1619" t="s">
        <v>1662</v>
      </c>
      <c r="B581" s="1621"/>
      <c r="C581" s="1621"/>
      <c r="D581" s="1621"/>
      <c r="E581" s="1635"/>
      <c r="F581" s="1636"/>
      <c r="G581" s="1636"/>
      <c r="H581" s="1636"/>
    </row>
    <row r="582" spans="1:8" ht="15.75">
      <c r="A582" s="1619" t="s">
        <v>724</v>
      </c>
      <c r="B582" s="1621"/>
      <c r="C582" s="1621"/>
      <c r="D582" s="1621"/>
      <c r="E582" s="1635"/>
      <c r="F582" s="1636"/>
      <c r="G582" s="1636"/>
      <c r="H582" s="1636"/>
    </row>
    <row r="583" spans="1:8" ht="15.75">
      <c r="A583" s="1619" t="s">
        <v>725</v>
      </c>
      <c r="B583" s="1621"/>
      <c r="C583" s="1621"/>
      <c r="D583" s="1621"/>
      <c r="E583" s="1635"/>
      <c r="F583" s="1636"/>
      <c r="G583" s="1636"/>
      <c r="H583" s="1636"/>
    </row>
    <row r="584" spans="1:8" ht="15.75">
      <c r="A584" s="1619" t="s">
        <v>726</v>
      </c>
      <c r="B584" s="1621"/>
      <c r="C584" s="1621"/>
      <c r="D584" s="1621"/>
      <c r="E584" s="1635"/>
      <c r="F584" s="1636"/>
      <c r="G584" s="1636"/>
      <c r="H584" s="1636"/>
    </row>
    <row r="585" spans="1:8" ht="32.1" customHeight="1">
      <c r="A585" s="1619" t="s">
        <v>727</v>
      </c>
      <c r="B585" s="1621"/>
      <c r="C585" s="1621"/>
      <c r="D585" s="1621"/>
      <c r="E585" s="1635"/>
      <c r="F585" s="1636"/>
      <c r="G585" s="1636"/>
      <c r="H585" s="1636"/>
    </row>
    <row r="586" spans="1:8" ht="15.75">
      <c r="A586" s="1619" t="s">
        <v>728</v>
      </c>
      <c r="B586" s="1621"/>
      <c r="C586" s="1621"/>
      <c r="D586" s="1621"/>
      <c r="E586" s="1635"/>
      <c r="F586" s="1636"/>
      <c r="G586" s="1636"/>
      <c r="H586" s="1636"/>
    </row>
    <row r="587" spans="1:8" ht="15.75">
      <c r="A587" s="1619" t="s">
        <v>1103</v>
      </c>
      <c r="B587" s="1621"/>
      <c r="C587" s="1621"/>
      <c r="D587" s="1621"/>
    </row>
    <row r="588" spans="1:8" ht="32.1" customHeight="1">
      <c r="A588" s="1619" t="s">
        <v>729</v>
      </c>
      <c r="B588" s="1621"/>
      <c r="C588" s="1621"/>
      <c r="D588" s="1621"/>
      <c r="E588" s="1635"/>
      <c r="F588" s="1636"/>
      <c r="G588" s="1636"/>
      <c r="H588" s="1636"/>
    </row>
    <row r="589" spans="1:8" ht="32.1" customHeight="1">
      <c r="A589" s="1619" t="s">
        <v>1071</v>
      </c>
      <c r="B589" s="1621"/>
      <c r="C589" s="1621"/>
      <c r="D589" s="1621"/>
      <c r="E589" s="1635"/>
      <c r="F589" s="1636"/>
      <c r="G589" s="1636"/>
      <c r="H589" s="1636"/>
    </row>
    <row r="590" spans="1:8" ht="15.75">
      <c r="A590" s="1619" t="s">
        <v>1104</v>
      </c>
      <c r="B590" s="1619"/>
      <c r="C590" s="1619"/>
      <c r="D590" s="1619"/>
    </row>
    <row r="591" spans="1:8" ht="15.75">
      <c r="A591" s="1619" t="s">
        <v>730</v>
      </c>
      <c r="B591" s="1621"/>
      <c r="C591" s="1621"/>
      <c r="D591" s="1621"/>
      <c r="E591" s="1635"/>
      <c r="F591" s="1636"/>
      <c r="G591" s="1636"/>
      <c r="H591" s="1636"/>
    </row>
    <row r="592" spans="1:8" ht="63" customHeight="1">
      <c r="A592" s="1619" t="s">
        <v>731</v>
      </c>
      <c r="B592" s="1621"/>
      <c r="C592" s="1621"/>
      <c r="D592" s="1621"/>
      <c r="E592" s="1635"/>
      <c r="F592" s="1636"/>
      <c r="G592" s="1636"/>
      <c r="H592" s="1636"/>
    </row>
    <row r="593" spans="1:8" ht="48" customHeight="1">
      <c r="A593" s="1619" t="s">
        <v>1115</v>
      </c>
      <c r="B593" s="1621"/>
      <c r="C593" s="1621"/>
      <c r="D593" s="1621"/>
      <c r="E593" s="1635"/>
      <c r="F593" s="1636"/>
      <c r="G593" s="1636"/>
      <c r="H593" s="1636"/>
    </row>
    <row r="594" spans="1:8" ht="15.75">
      <c r="A594" s="1619" t="s">
        <v>1105</v>
      </c>
      <c r="B594" s="1619"/>
      <c r="C594" s="1619"/>
      <c r="D594" s="1619"/>
    </row>
    <row r="595" spans="1:8" ht="15.75">
      <c r="A595" s="1619" t="s">
        <v>732</v>
      </c>
      <c r="B595" s="1621"/>
      <c r="C595" s="1621"/>
      <c r="D595" s="1621"/>
      <c r="E595" s="1635"/>
      <c r="F595" s="1636"/>
      <c r="G595" s="1636"/>
      <c r="H595" s="1636"/>
    </row>
    <row r="596" spans="1:8" ht="15.75">
      <c r="A596" s="1619" t="s">
        <v>733</v>
      </c>
      <c r="B596" s="1621"/>
      <c r="C596" s="1621"/>
      <c r="D596" s="1621"/>
      <c r="E596" s="1635"/>
      <c r="F596" s="1636"/>
      <c r="G596" s="1636"/>
      <c r="H596" s="1636"/>
    </row>
    <row r="597" spans="1:8" ht="15.75">
      <c r="A597" s="1619" t="s">
        <v>1072</v>
      </c>
      <c r="B597" s="1621"/>
      <c r="C597" s="1621"/>
      <c r="D597" s="1621"/>
      <c r="E597" s="1635"/>
      <c r="F597" s="1636"/>
      <c r="G597" s="1636"/>
      <c r="H597" s="1636"/>
    </row>
    <row r="598" spans="1:8" ht="32.1" customHeight="1">
      <c r="A598" s="1619" t="s">
        <v>1073</v>
      </c>
      <c r="B598" s="1621"/>
      <c r="C598" s="1621"/>
      <c r="D598" s="1621"/>
      <c r="E598" s="1635"/>
      <c r="F598" s="1636"/>
      <c r="G598" s="1636"/>
      <c r="H598" s="1636"/>
    </row>
    <row r="599" spans="1:8" ht="15.75">
      <c r="A599" s="1619" t="s">
        <v>734</v>
      </c>
      <c r="B599" s="1621"/>
      <c r="C599" s="1621"/>
      <c r="D599" s="1621"/>
      <c r="E599" s="1635"/>
      <c r="F599" s="1636"/>
      <c r="G599" s="1636"/>
      <c r="H599" s="1636"/>
    </row>
    <row r="600" spans="1:8" ht="15.75">
      <c r="A600" s="1619" t="s">
        <v>735</v>
      </c>
      <c r="B600" s="1621"/>
      <c r="C600" s="1621"/>
      <c r="D600" s="1621"/>
      <c r="E600" s="1635"/>
      <c r="F600" s="1636"/>
      <c r="G600" s="1636"/>
      <c r="H600" s="1636"/>
    </row>
    <row r="601" spans="1:8" ht="15.75">
      <c r="A601" s="1619" t="s">
        <v>1074</v>
      </c>
      <c r="B601" s="1621"/>
      <c r="C601" s="1621"/>
      <c r="D601" s="1621"/>
      <c r="E601" s="1635"/>
      <c r="F601" s="1636"/>
      <c r="G601" s="1636"/>
      <c r="H601" s="1636"/>
    </row>
    <row r="602" spans="1:8" ht="15.75">
      <c r="A602" s="1619" t="s">
        <v>736</v>
      </c>
      <c r="B602" s="1621"/>
      <c r="C602" s="1621"/>
      <c r="D602" s="1621"/>
      <c r="E602" s="1635"/>
      <c r="F602" s="1636"/>
      <c r="G602" s="1636"/>
      <c r="H602" s="1636"/>
    </row>
    <row r="603" spans="1:8" ht="15.75">
      <c r="A603" s="1619" t="s">
        <v>737</v>
      </c>
      <c r="B603" s="1621"/>
      <c r="C603" s="1621"/>
      <c r="D603" s="1621"/>
      <c r="E603" s="1635"/>
      <c r="F603" s="1636"/>
      <c r="G603" s="1636"/>
      <c r="H603" s="1636"/>
    </row>
    <row r="604" spans="1:8" ht="15.75">
      <c r="A604" s="1619" t="s">
        <v>1106</v>
      </c>
      <c r="B604" s="1619"/>
      <c r="C604" s="1619"/>
      <c r="D604" s="1619"/>
    </row>
    <row r="605" spans="1:8" ht="78.95" customHeight="1">
      <c r="A605" s="1619" t="s">
        <v>1116</v>
      </c>
      <c r="B605" s="1621"/>
      <c r="C605" s="1621"/>
      <c r="D605" s="1621"/>
      <c r="E605" s="1635"/>
      <c r="F605" s="1636"/>
      <c r="G605" s="1636"/>
      <c r="H605" s="1636"/>
    </row>
    <row r="606" spans="1:8" ht="48" customHeight="1">
      <c r="A606" s="1619" t="s">
        <v>738</v>
      </c>
      <c r="B606" s="1621"/>
      <c r="C606" s="1621"/>
      <c r="D606" s="1621"/>
      <c r="E606" s="1635"/>
      <c r="F606" s="1636"/>
      <c r="G606" s="1636"/>
      <c r="H606" s="1636"/>
    </row>
    <row r="607" spans="1:8" ht="15.75">
      <c r="A607" s="1619" t="s">
        <v>1107</v>
      </c>
      <c r="B607" s="1621"/>
      <c r="C607" s="1621"/>
      <c r="D607" s="1621"/>
      <c r="E607" s="1635"/>
      <c r="F607" s="1636"/>
      <c r="G607" s="1636"/>
      <c r="H607" s="1636"/>
    </row>
    <row r="608" spans="1:8" ht="32.1" customHeight="1">
      <c r="A608" s="1619" t="s">
        <v>1108</v>
      </c>
      <c r="B608" s="1621"/>
      <c r="C608" s="1621"/>
      <c r="D608" s="1621"/>
      <c r="E608" s="1635"/>
      <c r="F608" s="1636"/>
      <c r="G608" s="1636"/>
      <c r="H608" s="1636"/>
    </row>
    <row r="609" spans="1:8" ht="15.75">
      <c r="A609" s="1619" t="s">
        <v>1109</v>
      </c>
      <c r="B609" s="1621"/>
      <c r="C609" s="1621"/>
      <c r="D609" s="1621"/>
      <c r="E609" s="1635"/>
      <c r="F609" s="1636"/>
      <c r="G609" s="1636"/>
      <c r="H609" s="1636"/>
    </row>
    <row r="610" spans="1:8" ht="15.75">
      <c r="A610" s="1619" t="s">
        <v>1117</v>
      </c>
      <c r="B610" s="1621"/>
      <c r="C610" s="1621"/>
      <c r="D610" s="1621"/>
      <c r="E610" s="1635"/>
      <c r="F610" s="1636"/>
      <c r="G610" s="1636"/>
      <c r="H610" s="1636"/>
    </row>
    <row r="611" spans="1:8" ht="32.1" customHeight="1">
      <c r="A611" s="1619" t="s">
        <v>739</v>
      </c>
      <c r="B611" s="1621"/>
      <c r="C611" s="1621"/>
      <c r="D611" s="1621"/>
      <c r="E611" s="1635"/>
      <c r="F611" s="1636"/>
      <c r="G611" s="1636"/>
      <c r="H611" s="1636"/>
    </row>
    <row r="612" spans="1:8" ht="15.75">
      <c r="A612" s="1619" t="s">
        <v>740</v>
      </c>
      <c r="B612" s="1621"/>
      <c r="C612" s="1621"/>
      <c r="D612" s="1621"/>
      <c r="E612" s="1635"/>
      <c r="F612" s="1636"/>
      <c r="G612" s="1636"/>
      <c r="H612" s="1636"/>
    </row>
    <row r="613" spans="1:8" ht="15.75">
      <c r="A613" s="1619" t="s">
        <v>1075</v>
      </c>
      <c r="B613" s="1621"/>
      <c r="C613" s="1621"/>
      <c r="D613" s="1621"/>
    </row>
    <row r="614" spans="1:8" ht="15.75">
      <c r="A614" s="1619" t="s">
        <v>1076</v>
      </c>
      <c r="B614" s="1621"/>
      <c r="C614" s="1621"/>
      <c r="D614" s="1621"/>
    </row>
    <row r="615" spans="1:8" ht="15.75">
      <c r="A615" s="1619" t="s">
        <v>741</v>
      </c>
      <c r="B615" s="1621"/>
      <c r="C615" s="1621"/>
      <c r="D615" s="1621"/>
    </row>
    <row r="616" spans="1:8" ht="63" customHeight="1">
      <c r="A616" s="1619" t="s">
        <v>1077</v>
      </c>
      <c r="B616" s="1621"/>
      <c r="C616" s="1621"/>
      <c r="D616" s="1621"/>
    </row>
    <row r="617" spans="1:8" ht="32.1" customHeight="1">
      <c r="A617" s="1619" t="s">
        <v>1078</v>
      </c>
      <c r="B617" s="1621"/>
      <c r="C617" s="1621"/>
      <c r="D617" s="1621"/>
    </row>
    <row r="618" spans="1:8" ht="63" customHeight="1">
      <c r="A618" s="1619" t="s">
        <v>1110</v>
      </c>
      <c r="B618" s="1621"/>
      <c r="C618" s="1621"/>
      <c r="D618" s="1621"/>
    </row>
    <row r="619" spans="1:8" ht="32.1" customHeight="1">
      <c r="A619" s="1619" t="s">
        <v>742</v>
      </c>
      <c r="B619" s="1621"/>
      <c r="C619" s="1621"/>
      <c r="D619" s="1621"/>
    </row>
    <row r="620" spans="1:8" ht="15.75">
      <c r="A620" s="1619" t="str">
        <f>A351</f>
        <v>26.16  يتحمل المستأجر ( الفريق الثاني) كافة الضرائب  التجارية والفردية المترتبة على العين المؤجرة سواء كان المستأجر فرد او شركة وذلك طوال فترة سريان هذا العقد لدى كافة الجهات الرسمية.</v>
      </c>
      <c r="B620" s="1621"/>
      <c r="C620" s="1621"/>
      <c r="D620" s="1621"/>
    </row>
    <row r="621" spans="1:8" ht="32.1" customHeight="1">
      <c r="A621" s="1619" t="s">
        <v>1111</v>
      </c>
      <c r="B621" s="1621"/>
      <c r="C621" s="1621"/>
      <c r="D621" s="1621"/>
    </row>
    <row r="622" spans="1:8" ht="15.75">
      <c r="A622" s="809"/>
      <c r="B622" s="810"/>
      <c r="C622" s="810"/>
      <c r="D622" s="810"/>
    </row>
    <row r="623" spans="1:8" ht="15.75">
      <c r="A623" s="809"/>
      <c r="B623" s="810"/>
      <c r="C623" s="810"/>
      <c r="D623" s="810"/>
    </row>
    <row r="624" spans="1:8" ht="15.75">
      <c r="A624" s="809"/>
      <c r="B624" s="810"/>
      <c r="C624" s="810"/>
      <c r="D624" s="810"/>
    </row>
    <row r="625" spans="1:4" ht="15.75">
      <c r="A625" s="809"/>
      <c r="B625" s="810"/>
      <c r="C625" s="810"/>
      <c r="D625" s="810"/>
    </row>
    <row r="626" spans="1:4" ht="15.75">
      <c r="A626" s="809"/>
      <c r="B626" s="810"/>
      <c r="C626" s="810"/>
      <c r="D626" s="810"/>
    </row>
    <row r="627" spans="1:4" ht="15.75">
      <c r="A627" s="809"/>
      <c r="B627" s="810"/>
      <c r="C627" s="810"/>
      <c r="D627" s="810"/>
    </row>
    <row r="628" spans="1:4" ht="15.75">
      <c r="A628" s="811"/>
      <c r="B628" s="810"/>
      <c r="C628" s="810"/>
      <c r="D628" s="810"/>
    </row>
    <row r="629" spans="1:4" ht="15.75">
      <c r="A629" s="809" t="s">
        <v>3</v>
      </c>
      <c r="B629" s="810"/>
      <c r="C629" s="810"/>
      <c r="D629" s="810"/>
    </row>
    <row r="630" spans="1:4" ht="15.75">
      <c r="A630" s="812"/>
      <c r="B630" s="810"/>
      <c r="C630" s="810"/>
      <c r="D630" s="810"/>
    </row>
    <row r="631" spans="1:4" ht="15.75">
      <c r="A631" s="812"/>
      <c r="B631" s="810"/>
      <c r="C631" s="810"/>
      <c r="D631" s="810"/>
    </row>
    <row r="632" spans="1:4" ht="15.75">
      <c r="A632" s="812"/>
      <c r="B632" s="810"/>
      <c r="C632" s="810"/>
      <c r="D632" s="810"/>
    </row>
    <row r="633" spans="1:4" ht="15.75">
      <c r="A633" s="812"/>
      <c r="B633" s="810"/>
      <c r="C633" s="810"/>
      <c r="D633" s="810"/>
    </row>
    <row r="634" spans="1:4" ht="15.75">
      <c r="A634" s="812"/>
      <c r="B634" s="810"/>
      <c r="C634" s="810"/>
      <c r="D634" s="810"/>
    </row>
    <row r="635" spans="1:4" ht="15.75">
      <c r="A635" s="812"/>
      <c r="B635" s="810"/>
      <c r="C635" s="810"/>
      <c r="D635" s="810"/>
    </row>
    <row r="636" spans="1:4" ht="15.75">
      <c r="A636" s="812"/>
      <c r="B636" s="810"/>
      <c r="C636" s="810"/>
      <c r="D636" s="810"/>
    </row>
    <row r="637" spans="1:4" ht="15.75">
      <c r="A637" s="812"/>
      <c r="B637" s="810"/>
      <c r="C637" s="810"/>
      <c r="D637" s="810"/>
    </row>
    <row r="638" spans="1:4" ht="15.75">
      <c r="A638" s="812"/>
      <c r="B638" s="810"/>
      <c r="C638" s="810"/>
      <c r="D638" s="810"/>
    </row>
    <row r="639" spans="1:4" ht="15.75">
      <c r="A639" s="812"/>
      <c r="B639" s="810"/>
      <c r="C639" s="810"/>
      <c r="D639" s="810"/>
    </row>
    <row r="640" spans="1:4" ht="15.75">
      <c r="A640" s="812"/>
      <c r="B640" s="810"/>
      <c r="C640" s="810"/>
      <c r="D640" s="810"/>
    </row>
    <row r="641" spans="1:4" ht="15.75">
      <c r="A641" s="812"/>
      <c r="B641" s="810"/>
      <c r="C641" s="810"/>
      <c r="D641" s="810"/>
    </row>
    <row r="642" spans="1:4" ht="15.75">
      <c r="A642" s="812"/>
      <c r="B642" s="810"/>
      <c r="C642" s="810"/>
      <c r="D642" s="810"/>
    </row>
    <row r="643" spans="1:4" ht="15.75">
      <c r="A643" s="812"/>
      <c r="B643" s="810"/>
      <c r="C643" s="810"/>
      <c r="D643" s="810"/>
    </row>
    <row r="644" spans="1:4" ht="15.75">
      <c r="A644" s="812"/>
      <c r="B644" s="810"/>
      <c r="C644" s="810"/>
      <c r="D644" s="810"/>
    </row>
    <row r="645" spans="1:4" ht="15.75">
      <c r="A645" s="812"/>
      <c r="B645" s="810"/>
      <c r="C645" s="810"/>
      <c r="D645" s="810"/>
    </row>
    <row r="646" spans="1:4" ht="15.75">
      <c r="A646" s="812"/>
      <c r="B646" s="810"/>
      <c r="C646" s="810"/>
      <c r="D646" s="810"/>
    </row>
    <row r="647" spans="1:4" ht="15.75">
      <c r="A647" s="812"/>
      <c r="B647" s="810"/>
      <c r="C647" s="810"/>
      <c r="D647" s="810"/>
    </row>
    <row r="648" spans="1:4" ht="15.75">
      <c r="A648" s="812"/>
      <c r="B648" s="810"/>
      <c r="C648" s="810"/>
      <c r="D648" s="810"/>
    </row>
    <row r="649" spans="1:4" ht="15.75">
      <c r="A649" s="812"/>
      <c r="B649" s="810"/>
      <c r="C649" s="810"/>
      <c r="D649" s="810"/>
    </row>
    <row r="650" spans="1:4" ht="15.75">
      <c r="A650" s="812"/>
      <c r="B650" s="810"/>
      <c r="C650" s="810"/>
      <c r="D650" s="810"/>
    </row>
    <row r="651" spans="1:4" ht="15.75">
      <c r="A651" s="812"/>
      <c r="B651" s="810"/>
      <c r="C651" s="810"/>
      <c r="D651" s="810"/>
    </row>
    <row r="652" spans="1:4" ht="15.75">
      <c r="A652" s="812"/>
      <c r="B652" s="810"/>
      <c r="C652" s="810"/>
      <c r="D652" s="810"/>
    </row>
    <row r="653" spans="1:4" ht="15.75">
      <c r="A653" s="812"/>
      <c r="B653" s="810"/>
      <c r="C653" s="810"/>
      <c r="D653" s="810"/>
    </row>
    <row r="654" spans="1:4" ht="15.75">
      <c r="A654" s="812"/>
      <c r="B654" s="810"/>
      <c r="C654" s="810"/>
      <c r="D654" s="810"/>
    </row>
    <row r="655" spans="1:4" ht="15.75">
      <c r="A655" s="812"/>
      <c r="B655" s="810"/>
      <c r="C655" s="810"/>
      <c r="D655" s="810"/>
    </row>
    <row r="656" spans="1:4" ht="15.75">
      <c r="A656" s="812"/>
      <c r="B656" s="810"/>
      <c r="C656" s="810"/>
      <c r="D656" s="810"/>
    </row>
    <row r="657" spans="1:4" ht="15.75">
      <c r="A657" s="812"/>
      <c r="B657" s="810"/>
      <c r="C657" s="810"/>
      <c r="D657" s="810"/>
    </row>
    <row r="658" spans="1:4" ht="15.75">
      <c r="A658" s="812"/>
      <c r="B658" s="810"/>
      <c r="C658" s="810"/>
      <c r="D658" s="810"/>
    </row>
    <row r="659" spans="1:4" ht="15.75">
      <c r="A659" s="812"/>
      <c r="B659" s="810"/>
      <c r="C659" s="810"/>
      <c r="D659" s="810"/>
    </row>
    <row r="660" spans="1:4" ht="15.75">
      <c r="A660" s="812"/>
      <c r="B660" s="810"/>
      <c r="C660" s="810"/>
      <c r="D660" s="810"/>
    </row>
    <row r="661" spans="1:4" ht="15.75">
      <c r="A661" s="812"/>
      <c r="B661" s="810"/>
      <c r="C661" s="810"/>
      <c r="D661" s="810"/>
    </row>
    <row r="662" spans="1:4" ht="15.75">
      <c r="A662" s="812"/>
      <c r="B662" s="810"/>
      <c r="C662" s="810"/>
      <c r="D662" s="810"/>
    </row>
    <row r="663" spans="1:4" ht="15.75">
      <c r="A663" s="812"/>
      <c r="B663" s="810"/>
      <c r="C663" s="810"/>
      <c r="D663" s="810"/>
    </row>
    <row r="664" spans="1:4" ht="15.75">
      <c r="A664" s="812"/>
      <c r="B664" s="810"/>
      <c r="C664" s="810"/>
      <c r="D664" s="810"/>
    </row>
    <row r="665" spans="1:4" ht="15.75">
      <c r="A665" s="812"/>
      <c r="B665" s="810"/>
      <c r="C665" s="810"/>
      <c r="D665" s="810"/>
    </row>
    <row r="666" spans="1:4" ht="15.75">
      <c r="A666" s="812"/>
      <c r="B666" s="810"/>
      <c r="C666" s="810"/>
      <c r="D666" s="810"/>
    </row>
    <row r="667" spans="1:4" ht="18.75">
      <c r="A667" s="1624" t="s">
        <v>580</v>
      </c>
      <c r="B667" s="1624"/>
      <c r="C667" s="1624"/>
      <c r="D667" s="1624"/>
    </row>
    <row r="668" spans="1:4" ht="18.75">
      <c r="A668" s="944" t="s">
        <v>186</v>
      </c>
      <c r="B668" s="944" t="s">
        <v>562</v>
      </c>
      <c r="C668" s="944" t="s">
        <v>564</v>
      </c>
      <c r="D668" s="944" t="s">
        <v>563</v>
      </c>
    </row>
    <row r="669" spans="1:4" ht="48" customHeight="1">
      <c r="A669" s="815" t="str">
        <f>IF('جدول السداد'!$A$39=0,"",'جدول السداد'!$A$39)</f>
        <v/>
      </c>
      <c r="B669" s="815" t="str">
        <f>IF('جدول السداد'!$F$39=0,"",'جدول السداد'!$F$39)</f>
        <v/>
      </c>
      <c r="C669" s="815" t="str">
        <f>IF('جدول السداد'!$K$39=0,"",'جدول السداد'!$K$39)</f>
        <v/>
      </c>
      <c r="D669" s="815">
        <f>IF('جدول السداد'!$I$39=0,"",'جدول السداد'!$I$39)</f>
        <v>2015</v>
      </c>
    </row>
    <row r="670" spans="1:4" ht="48" customHeight="1">
      <c r="A670" s="815" t="str">
        <f>IF('جدول السداد'!$A$40=0,"",'جدول السداد'!$A$40)</f>
        <v/>
      </c>
      <c r="B670" s="815" t="str">
        <f>IF('جدول السداد'!$F$40=0,"",'جدول السداد'!$F$40)</f>
        <v/>
      </c>
      <c r="C670" s="815" t="str">
        <f>IF('جدول السداد'!$K$40=0,"",'جدول السداد'!$K$40)</f>
        <v/>
      </c>
      <c r="D670" s="815" t="str">
        <f>IF('جدول السداد'!$I$40=0,"",'جدول السداد'!$I$40)</f>
        <v/>
      </c>
    </row>
    <row r="671" spans="1:4" ht="48" customHeight="1">
      <c r="A671" s="815" t="str">
        <f>IF('جدول السداد'!$A$41=0,"",'جدول السداد'!$A$41)</f>
        <v/>
      </c>
      <c r="B671" s="815" t="str">
        <f>IF('جدول السداد'!$F$41=0,"",'جدول السداد'!$F$41)</f>
        <v/>
      </c>
      <c r="C671" s="815" t="str">
        <f>IF('جدول السداد'!$K$41=0,"",'جدول السداد'!$K$41)</f>
        <v/>
      </c>
      <c r="D671" s="815" t="str">
        <f>IF('جدول السداد'!$I$41=0,"",'جدول السداد'!$I$41)</f>
        <v/>
      </c>
    </row>
    <row r="672" spans="1:4" ht="48" customHeight="1">
      <c r="A672" s="815" t="str">
        <f>IF('جدول السداد'!$A$42=0,"",'جدول السداد'!$A$42)</f>
        <v/>
      </c>
      <c r="B672" s="815" t="str">
        <f>IF('جدول السداد'!$F$42=0,"",'جدول السداد'!$F$42)</f>
        <v/>
      </c>
      <c r="C672" s="815" t="str">
        <f>IF('جدول السداد'!$K$42=0,"",'جدول السداد'!$K$42)</f>
        <v/>
      </c>
      <c r="D672" s="815" t="str">
        <f>IF('جدول السداد'!$I$42=0,"",'جدول السداد'!$I$42)</f>
        <v/>
      </c>
    </row>
    <row r="673" spans="1:8" ht="48" customHeight="1">
      <c r="A673" s="815" t="str">
        <f>IF('جدول السداد'!$A$43=0,"",'جدول السداد'!$A$43)</f>
        <v/>
      </c>
      <c r="B673" s="815" t="str">
        <f>IF('جدول السداد'!$F$43=0,"",'جدول السداد'!$F$43)</f>
        <v/>
      </c>
      <c r="C673" s="815" t="str">
        <f>IF('جدول السداد'!$K$43=0,"",'جدول السداد'!$K$43)</f>
        <v/>
      </c>
      <c r="D673" s="815" t="str">
        <f>IF('جدول السداد'!$I$43=0,"",'جدول السداد'!$I$43)</f>
        <v/>
      </c>
    </row>
    <row r="674" spans="1:8" ht="15.75">
      <c r="A674" s="812"/>
      <c r="B674" s="810"/>
      <c r="C674" s="810"/>
      <c r="D674" s="810"/>
    </row>
    <row r="675" spans="1:8" ht="22.5">
      <c r="A675" s="1572" t="s">
        <v>750</v>
      </c>
      <c r="B675" s="1572"/>
      <c r="C675" s="1572"/>
      <c r="D675" s="1572"/>
    </row>
    <row r="676" spans="1:8" ht="33.75" customHeight="1">
      <c r="A676" s="1630" t="str">
        <f>"ابرم هذا العقد في هذا اليوم _______________________________، الموافق "&amp;TEXT('مدخلات العقود'!$J$15,"dd/mm/yyyy")</f>
        <v>ابرم هذا العقد في هذا اليوم _______________________________، الموافق 00/01/1900</v>
      </c>
      <c r="B676" s="1630"/>
      <c r="C676" s="1630"/>
      <c r="D676" s="1630"/>
    </row>
    <row r="677" spans="1:8" ht="15.75">
      <c r="A677" s="1630" t="s">
        <v>751</v>
      </c>
      <c r="B677" s="1630"/>
      <c r="C677" s="1630"/>
      <c r="D677" s="1630"/>
    </row>
    <row r="678" spans="1:8" ht="15.75">
      <c r="A678" s="1630" t="s">
        <v>752</v>
      </c>
      <c r="B678" s="1619"/>
      <c r="C678" s="1619"/>
      <c r="D678" s="1619"/>
    </row>
    <row r="679" spans="1:8" ht="32.1" customHeight="1">
      <c r="A679" s="1630" t="str">
        <f>"الفريق الثاني: "&amp;'مدخلات العقود'!$B$2&amp;"، حامل هوية رقم: "&amp;'مدخلات العقود'!$D$2&amp;"، والصادرة في: "&amp;'مدخلات العقود'!$F$2&amp;"، بتاريخ: "&amp;TEXT('مدخلات العقود'!$H$2,"dd/mm/yyyy")&amp;"، وعنوانة لغايات التبليغ: "&amp;'مدخلات العقود'!$J$2&amp;"، ورقم هاتفه: "&amp;'مدخلات العقود'!$L$2</f>
        <v>الفريق الثاني: 0، حامل هوية رقم: 0، والصادرة في: ، بتاريخ: 00/01/1900، وعنوانة لغايات التبليغ:  -  -  - ، ورقم هاتفه: 0</v>
      </c>
      <c r="B679" s="1630"/>
      <c r="C679" s="1630"/>
      <c r="D679" s="1630"/>
      <c r="E679" s="786"/>
      <c r="F679" s="786"/>
      <c r="G679" s="787"/>
      <c r="H679" s="786"/>
    </row>
    <row r="680" spans="1:8" ht="15.75">
      <c r="A680" s="1629" t="s">
        <v>753</v>
      </c>
      <c r="B680" s="1629"/>
      <c r="C680" s="1629"/>
      <c r="D680" s="1629"/>
    </row>
    <row r="681" spans="1:8" ht="32.1" customHeight="1">
      <c r="A681" s="1632" t="str">
        <f>"لاحقا لعقد التاجير رقم "&amp;'مدخلات العقود'!$J$14&amp;" الموقع فيما الفريقين بتاريخ "&amp;TEXT('مدخلات العقود'!$J$15,"dd/mm/yyyy")&amp;" والمشار اليه لاحقا بـ (عقد التأجير) وذلك لتاجير العين المؤجرة الموصوفة في البند رقم (5) من عقد التأجير والمشار اليها لاحقا بـ 'العين المؤجرة' تاجيرا منتهيا بالتمليك،"&amp;" وبما ان الفريق الاول يرغب بتفويض الفريق الثاني بحيث يكون الاخير وكيلا عنه للقيام بكافة الخدمات المحددة بموجب هذا العقد."</f>
        <v>لاحقا لعقد التاجير رقم  الموقع فيما الفريقين بتاريخ 00/01/1900 والمشار اليه لاحقا بـ (عقد التأجير) وذلك لتاجير العين المؤجرة الموصوفة في البند رقم (5) من عقد التأجير والمشار اليها لاحقا بـ 'العين المؤجرة' تاجيرا منتهيا بالتمليك، وبما ان الفريق الاول يرغب بتفويض الفريق الثاني بحيث يكون الاخير وكيلا عنه للقيام بكافة الخدمات المحددة بموجب هذا العقد.</v>
      </c>
      <c r="B681" s="1633"/>
      <c r="C681" s="1633"/>
      <c r="D681" s="1633"/>
    </row>
    <row r="682" spans="1:8" ht="48" customHeight="1">
      <c r="A682" s="1629" t="s">
        <v>1127</v>
      </c>
      <c r="B682" s="1619"/>
      <c r="C682" s="1619"/>
      <c r="D682" s="1619"/>
    </row>
    <row r="683" spans="1:8" ht="15.75">
      <c r="A683" s="1629" t="s">
        <v>960</v>
      </c>
      <c r="B683" s="1619"/>
      <c r="C683" s="1619"/>
      <c r="D683" s="1619"/>
    </row>
    <row r="684" spans="1:8" ht="15.75">
      <c r="A684" s="1629" t="s">
        <v>961</v>
      </c>
      <c r="B684" s="1619"/>
      <c r="C684" s="1619"/>
      <c r="D684" s="1619"/>
    </row>
    <row r="685" spans="1:8" ht="15.75">
      <c r="A685" s="1630" t="s">
        <v>1120</v>
      </c>
      <c r="B685" s="1619"/>
      <c r="C685" s="1619"/>
      <c r="D685" s="1619"/>
    </row>
    <row r="686" spans="1:8" ht="32.1" customHeight="1">
      <c r="A686" s="1629" t="s">
        <v>754</v>
      </c>
      <c r="B686" s="1619"/>
      <c r="C686" s="1619"/>
      <c r="D686" s="1619"/>
    </row>
    <row r="687" spans="1:8" ht="15.75">
      <c r="A687" s="1629" t="s">
        <v>755</v>
      </c>
      <c r="B687" s="1619"/>
      <c r="C687" s="1619"/>
      <c r="D687" s="1619"/>
    </row>
    <row r="688" spans="1:8" ht="32.1" customHeight="1">
      <c r="A688" s="1629" t="s">
        <v>1215</v>
      </c>
      <c r="B688" s="1619"/>
      <c r="C688" s="1619"/>
      <c r="D688" s="1619"/>
    </row>
    <row r="689" spans="1:4" ht="15.75">
      <c r="A689" s="1630" t="s">
        <v>1121</v>
      </c>
      <c r="B689" s="1619"/>
      <c r="C689" s="1619"/>
      <c r="D689" s="1619"/>
    </row>
    <row r="690" spans="1:4" ht="15.75">
      <c r="A690" s="1630" t="s">
        <v>1132</v>
      </c>
      <c r="B690" s="1619"/>
      <c r="C690" s="1619"/>
      <c r="D690" s="1619"/>
    </row>
    <row r="691" spans="1:4" ht="15.75">
      <c r="A691" s="1630" t="s">
        <v>756</v>
      </c>
      <c r="B691" s="1619"/>
      <c r="C691" s="1619"/>
      <c r="D691" s="1619"/>
    </row>
    <row r="692" spans="1:4" ht="15.75">
      <c r="A692" s="1630" t="s">
        <v>962</v>
      </c>
      <c r="B692" s="1619"/>
      <c r="C692" s="1619"/>
      <c r="D692" s="1619"/>
    </row>
    <row r="693" spans="1:4" ht="15.75">
      <c r="A693" s="1630" t="s">
        <v>757</v>
      </c>
      <c r="B693" s="1619"/>
      <c r="C693" s="1619"/>
      <c r="D693" s="1619"/>
    </row>
    <row r="694" spans="1:4" ht="15.75">
      <c r="A694" s="1629" t="s">
        <v>758</v>
      </c>
      <c r="B694" s="1619"/>
      <c r="C694" s="1619"/>
      <c r="D694" s="1619"/>
    </row>
    <row r="695" spans="1:4" ht="15.75">
      <c r="A695" s="1630" t="s">
        <v>759</v>
      </c>
      <c r="B695" s="1619"/>
      <c r="C695" s="1619"/>
      <c r="D695" s="1619"/>
    </row>
    <row r="696" spans="1:4" ht="15.75">
      <c r="A696" s="1629" t="s">
        <v>1122</v>
      </c>
      <c r="B696" s="1619"/>
      <c r="C696" s="1619"/>
      <c r="D696" s="1619"/>
    </row>
    <row r="697" spans="1:4" ht="111" customHeight="1">
      <c r="A697" s="1629" t="s">
        <v>1128</v>
      </c>
      <c r="B697" s="1629"/>
      <c r="C697" s="1629"/>
      <c r="D697" s="1629"/>
    </row>
    <row r="698" spans="1:4" ht="15.75">
      <c r="A698" s="1629" t="s">
        <v>963</v>
      </c>
      <c r="B698" s="1629"/>
      <c r="C698" s="1629"/>
      <c r="D698" s="1629"/>
    </row>
    <row r="699" spans="1:4" ht="15.75">
      <c r="A699" s="1630" t="s">
        <v>760</v>
      </c>
      <c r="B699" s="1619"/>
      <c r="C699" s="1619"/>
      <c r="D699" s="1619"/>
    </row>
    <row r="700" spans="1:4" ht="105" customHeight="1">
      <c r="A700" s="1629" t="s">
        <v>964</v>
      </c>
      <c r="B700" s="1619"/>
      <c r="C700" s="1619"/>
      <c r="D700" s="1619"/>
    </row>
    <row r="701" spans="1:4" ht="15.75">
      <c r="A701" s="1630" t="s">
        <v>965</v>
      </c>
      <c r="B701" s="1619"/>
      <c r="C701" s="1619"/>
      <c r="D701" s="1619"/>
    </row>
    <row r="702" spans="1:4" ht="32.1" customHeight="1">
      <c r="A702" s="1629" t="s">
        <v>1129</v>
      </c>
      <c r="B702" s="1619"/>
      <c r="C702" s="1619"/>
      <c r="D702" s="1619"/>
    </row>
    <row r="703" spans="1:4" ht="15.75">
      <c r="A703" s="1630" t="s">
        <v>966</v>
      </c>
      <c r="B703" s="1619"/>
      <c r="C703" s="1619"/>
      <c r="D703" s="1619"/>
    </row>
    <row r="704" spans="1:4" ht="141.94999999999999" customHeight="1">
      <c r="A704" s="1629" t="s">
        <v>1130</v>
      </c>
      <c r="B704" s="1619"/>
      <c r="C704" s="1619"/>
      <c r="D704" s="1619"/>
    </row>
    <row r="705" spans="1:4" ht="15.75">
      <c r="A705" s="1630" t="s">
        <v>967</v>
      </c>
      <c r="B705" s="1619"/>
      <c r="C705" s="1619"/>
      <c r="D705" s="1619"/>
    </row>
    <row r="706" spans="1:4" ht="32.1" customHeight="1">
      <c r="A706" s="1630" t="s">
        <v>1133</v>
      </c>
      <c r="B706" s="1619"/>
      <c r="C706" s="1619"/>
      <c r="D706" s="1619"/>
    </row>
    <row r="707" spans="1:4" ht="15.75">
      <c r="A707" s="1630" t="s">
        <v>761</v>
      </c>
      <c r="B707" s="1619"/>
      <c r="C707" s="1619"/>
      <c r="D707" s="1619"/>
    </row>
    <row r="708" spans="1:4" ht="32.1" customHeight="1">
      <c r="A708" s="1629" t="s">
        <v>968</v>
      </c>
      <c r="B708" s="1619"/>
      <c r="C708" s="1619"/>
      <c r="D708" s="1619"/>
    </row>
    <row r="709" spans="1:4" ht="15.75">
      <c r="A709" s="1630" t="s">
        <v>969</v>
      </c>
      <c r="B709" s="1619"/>
      <c r="C709" s="1619"/>
      <c r="D709" s="1619"/>
    </row>
    <row r="710" spans="1:4" ht="48" customHeight="1">
      <c r="A710" s="1629" t="s">
        <v>1142</v>
      </c>
      <c r="B710" s="1619"/>
      <c r="C710" s="1619"/>
      <c r="D710" s="1619"/>
    </row>
    <row r="711" spans="1:4" ht="32.1" customHeight="1">
      <c r="A711" s="1629" t="s">
        <v>1143</v>
      </c>
      <c r="B711" s="1619"/>
      <c r="C711" s="1619"/>
      <c r="D711" s="1619"/>
    </row>
    <row r="712" spans="1:4" ht="15.75">
      <c r="A712" s="1630" t="s">
        <v>762</v>
      </c>
      <c r="B712" s="1619"/>
      <c r="C712" s="1619"/>
      <c r="D712" s="1619"/>
    </row>
    <row r="713" spans="1:4" ht="15.75">
      <c r="A713" s="1630" t="s">
        <v>763</v>
      </c>
      <c r="B713" s="1619"/>
      <c r="C713" s="1619"/>
      <c r="D713" s="1619"/>
    </row>
    <row r="714" spans="1:4" ht="15.75">
      <c r="A714" s="1629" t="s">
        <v>764</v>
      </c>
      <c r="B714" s="1619"/>
      <c r="C714" s="1619"/>
      <c r="D714" s="1619"/>
    </row>
    <row r="715" spans="1:4" ht="78.95" customHeight="1">
      <c r="A715" s="1629" t="s">
        <v>1160</v>
      </c>
      <c r="B715" s="1619"/>
      <c r="C715" s="1619"/>
      <c r="D715" s="1619"/>
    </row>
    <row r="716" spans="1:4" ht="15.75">
      <c r="A716" s="1629" t="s">
        <v>1011</v>
      </c>
      <c r="B716" s="1619"/>
      <c r="C716" s="1619"/>
      <c r="D716" s="1619"/>
    </row>
    <row r="717" spans="1:4" ht="15.75">
      <c r="A717" s="1629" t="s">
        <v>765</v>
      </c>
      <c r="B717" s="1629"/>
      <c r="C717" s="1629"/>
      <c r="D717" s="1629"/>
    </row>
    <row r="718" spans="1:4" ht="32.1" customHeight="1">
      <c r="A718" s="1629" t="s">
        <v>1134</v>
      </c>
      <c r="B718" s="1629"/>
      <c r="C718" s="1629"/>
      <c r="D718" s="1629"/>
    </row>
    <row r="719" spans="1:4" ht="48" customHeight="1">
      <c r="A719" s="1629" t="s">
        <v>1135</v>
      </c>
      <c r="B719" s="1629"/>
      <c r="C719" s="1629"/>
      <c r="D719" s="1629"/>
    </row>
    <row r="720" spans="1:4" ht="15.75">
      <c r="A720" s="1630" t="s">
        <v>766</v>
      </c>
      <c r="B720" s="1630"/>
      <c r="C720" s="1630"/>
      <c r="D720" s="1630"/>
    </row>
    <row r="721" spans="1:4" ht="32.1" customHeight="1">
      <c r="A721" s="1629" t="s">
        <v>1136</v>
      </c>
      <c r="B721" s="1619"/>
      <c r="C721" s="1619"/>
      <c r="D721" s="1619"/>
    </row>
    <row r="722" spans="1:4" ht="15.75">
      <c r="A722" s="1630" t="s">
        <v>767</v>
      </c>
      <c r="B722" s="1619"/>
      <c r="C722" s="1619"/>
      <c r="D722" s="1619"/>
    </row>
    <row r="723" spans="1:4" ht="15.75">
      <c r="A723" s="1630" t="s">
        <v>768</v>
      </c>
      <c r="B723" s="1619"/>
      <c r="C723" s="1619"/>
      <c r="D723" s="1619"/>
    </row>
    <row r="724" spans="1:4" ht="78.95" customHeight="1">
      <c r="A724" s="1629" t="s">
        <v>769</v>
      </c>
      <c r="B724" s="1619"/>
      <c r="C724" s="1619"/>
      <c r="D724" s="1619"/>
    </row>
    <row r="725" spans="1:4" ht="15.75">
      <c r="A725" s="1630" t="s">
        <v>1137</v>
      </c>
      <c r="B725" s="1619"/>
      <c r="C725" s="1619"/>
      <c r="D725" s="1619"/>
    </row>
    <row r="726" spans="1:4" ht="15.75">
      <c r="A726" s="1629" t="s">
        <v>1138</v>
      </c>
      <c r="B726" s="1619"/>
      <c r="C726" s="1619"/>
      <c r="D726" s="1619"/>
    </row>
    <row r="727" spans="1:4" ht="15.75">
      <c r="A727" s="1630" t="s">
        <v>770</v>
      </c>
      <c r="B727" s="1619"/>
      <c r="C727" s="1619"/>
      <c r="D727" s="1619"/>
    </row>
    <row r="728" spans="1:4" ht="15.75">
      <c r="A728" s="1630" t="s">
        <v>1123</v>
      </c>
      <c r="B728" s="1619"/>
      <c r="C728" s="1619"/>
      <c r="D728" s="1619"/>
    </row>
    <row r="729" spans="1:4" ht="15.75">
      <c r="A729" s="1630" t="s">
        <v>1124</v>
      </c>
      <c r="B729" s="1619"/>
      <c r="C729" s="1619"/>
      <c r="D729" s="1619"/>
    </row>
    <row r="730" spans="1:4" ht="32.1" customHeight="1">
      <c r="A730" s="1630" t="s">
        <v>1342</v>
      </c>
      <c r="B730" s="1619"/>
      <c r="C730" s="1619"/>
      <c r="D730" s="1619"/>
    </row>
    <row r="731" spans="1:4" ht="15.75">
      <c r="A731" s="1630" t="s">
        <v>771</v>
      </c>
      <c r="B731" s="1619"/>
      <c r="C731" s="1619"/>
      <c r="D731" s="1619"/>
    </row>
    <row r="732" spans="1:4" ht="15.75">
      <c r="A732" s="1629" t="s">
        <v>772</v>
      </c>
      <c r="B732" s="1619"/>
      <c r="C732" s="1619"/>
      <c r="D732" s="1619"/>
    </row>
    <row r="733" spans="1:4" ht="32.1" customHeight="1">
      <c r="A733" s="1629" t="s">
        <v>1139</v>
      </c>
      <c r="B733" s="1619"/>
      <c r="C733" s="1619"/>
      <c r="D733" s="1619"/>
    </row>
    <row r="734" spans="1:4" ht="32.1" customHeight="1">
      <c r="A734" s="1629" t="s">
        <v>1126</v>
      </c>
      <c r="B734" s="1619"/>
      <c r="C734" s="1619"/>
      <c r="D734" s="1619"/>
    </row>
    <row r="735" spans="1:4" ht="15.75">
      <c r="A735" s="1629" t="s">
        <v>1140</v>
      </c>
      <c r="B735" s="1619"/>
      <c r="C735" s="1619"/>
      <c r="D735" s="1619"/>
    </row>
    <row r="736" spans="1:4" ht="15.75">
      <c r="A736" s="1630" t="s">
        <v>773</v>
      </c>
      <c r="B736" s="1619"/>
      <c r="C736" s="1619"/>
      <c r="D736" s="1619"/>
    </row>
    <row r="737" spans="1:4" ht="32.1" customHeight="1">
      <c r="A737" s="1629" t="s">
        <v>774</v>
      </c>
      <c r="B737" s="1629"/>
      <c r="C737" s="1629"/>
      <c r="D737" s="1629"/>
    </row>
    <row r="738" spans="1:4" ht="15.75">
      <c r="A738" s="1629" t="s">
        <v>775</v>
      </c>
      <c r="B738" s="1619"/>
      <c r="C738" s="1619"/>
      <c r="D738" s="1619"/>
    </row>
    <row r="739" spans="1:4" ht="48" customHeight="1">
      <c r="A739" s="1629" t="s">
        <v>1145</v>
      </c>
      <c r="B739" s="1619"/>
      <c r="C739" s="1619"/>
      <c r="D739" s="1619"/>
    </row>
    <row r="740" spans="1:4" ht="15.75">
      <c r="A740" s="1629" t="s">
        <v>776</v>
      </c>
      <c r="B740" s="1619"/>
      <c r="C740" s="1619"/>
      <c r="D740" s="1619"/>
    </row>
    <row r="741" spans="1:4" ht="32.1" customHeight="1">
      <c r="A741" s="1629" t="s">
        <v>1144</v>
      </c>
      <c r="B741" s="1619"/>
      <c r="C741" s="1619"/>
      <c r="D741" s="1619"/>
    </row>
    <row r="742" spans="1:4" ht="15.75">
      <c r="A742" s="1630" t="s">
        <v>777</v>
      </c>
      <c r="B742" s="1619"/>
      <c r="C742" s="1619"/>
      <c r="D742" s="1619"/>
    </row>
    <row r="743" spans="1:4" ht="78.95" customHeight="1">
      <c r="A743" s="1629" t="s">
        <v>778</v>
      </c>
      <c r="B743" s="1619"/>
      <c r="C743" s="1619"/>
      <c r="D743" s="1619"/>
    </row>
    <row r="744" spans="1:4" ht="15.75">
      <c r="A744" s="1630" t="s">
        <v>779</v>
      </c>
      <c r="B744" s="1619"/>
      <c r="C744" s="1619"/>
      <c r="D744" s="1619"/>
    </row>
    <row r="745" spans="1:4" ht="32.1" customHeight="1">
      <c r="A745" s="1629" t="s">
        <v>1343</v>
      </c>
      <c r="B745" s="1619"/>
      <c r="C745" s="1619"/>
      <c r="D745" s="1619"/>
    </row>
    <row r="746" spans="1:4" ht="32.1" customHeight="1">
      <c r="A746" s="1629" t="s">
        <v>1141</v>
      </c>
      <c r="B746" s="1619"/>
      <c r="C746" s="1619"/>
      <c r="D746" s="1619"/>
    </row>
    <row r="747" spans="1:4" ht="15.75">
      <c r="A747" s="1629" t="s">
        <v>781</v>
      </c>
      <c r="B747" s="1619"/>
      <c r="C747" s="1619"/>
      <c r="D747" s="1619"/>
    </row>
    <row r="748" spans="1:4" ht="15.75">
      <c r="A748" s="1629" t="str">
        <f>"9. يدخل هذا العقد حيز التنفيذ اعتبارا من تاريخ "&amp;TEXT('مدخلات العقود'!$J$15,"dd/mm/yyyy")</f>
        <v>9. يدخل هذا العقد حيز التنفيذ اعتبارا من تاريخ 00/01/1900</v>
      </c>
      <c r="B748" s="1619"/>
      <c r="C748" s="1619"/>
      <c r="D748" s="1619"/>
    </row>
    <row r="749" spans="1:4" ht="15.75">
      <c r="A749" s="1629" t="s">
        <v>971</v>
      </c>
      <c r="B749" s="1619"/>
      <c r="C749" s="1619"/>
      <c r="D749" s="1619"/>
    </row>
    <row r="750" spans="1:4" ht="15.75">
      <c r="A750" s="1629" t="s">
        <v>782</v>
      </c>
      <c r="B750" s="1619"/>
      <c r="C750" s="1619"/>
      <c r="D750" s="1619"/>
    </row>
    <row r="751" spans="1:4" ht="15.75">
      <c r="A751" s="1629" t="s">
        <v>970</v>
      </c>
      <c r="B751" s="1619"/>
      <c r="C751" s="1619"/>
      <c r="D751" s="1619"/>
    </row>
    <row r="752" spans="1:4">
      <c r="A752" s="780"/>
      <c r="B752" s="780"/>
      <c r="C752" s="780"/>
      <c r="D752" s="780"/>
    </row>
    <row r="753" spans="1:8" ht="22.5">
      <c r="A753" s="1572" t="s">
        <v>750</v>
      </c>
      <c r="B753" s="1572"/>
      <c r="C753" s="1572"/>
      <c r="D753" s="1572"/>
    </row>
    <row r="754" spans="1:8" ht="33.75" customHeight="1">
      <c r="A754" s="1630" t="str">
        <f>"ابرم هذا العقد في هذا اليوم _______________________________، الموافق "&amp;TEXT('مدخلات العقود'!$J$15,"dd/mm/yyyy")</f>
        <v>ابرم هذا العقد في هذا اليوم _______________________________، الموافق 00/01/1900</v>
      </c>
      <c r="B754" s="1630"/>
      <c r="C754" s="1630"/>
      <c r="D754" s="1630"/>
    </row>
    <row r="755" spans="1:8" ht="15.75">
      <c r="A755" s="1630" t="s">
        <v>751</v>
      </c>
      <c r="B755" s="1630"/>
      <c r="C755" s="1630"/>
      <c r="D755" s="1630"/>
    </row>
    <row r="756" spans="1:8" ht="15.75">
      <c r="A756" s="1630" t="s">
        <v>752</v>
      </c>
      <c r="B756" s="1619"/>
      <c r="C756" s="1619"/>
      <c r="D756" s="1619"/>
    </row>
    <row r="757" spans="1:8" ht="32.1" customHeight="1">
      <c r="A757" s="1630" t="str">
        <f>"الفريق الثاني: "&amp;'مدخلات العقود'!$B$2&amp;"، حامل هوية رقم: "&amp;'مدخلات العقود'!$D$2&amp;"، والصادرة في: "&amp;'مدخلات العقود'!$F$2&amp;"، بتاريخ: "&amp;TEXT('مدخلات العقود'!$H$2,"dd/mm/yyyy")&amp;"، وعنوانة لغايات التبليغ: "&amp;'مدخلات العقود'!$J$2&amp;"، ورقم هاتفه: "&amp;'مدخلات العقود'!$L$2</f>
        <v>الفريق الثاني: 0، حامل هوية رقم: 0، والصادرة في: ، بتاريخ: 00/01/1900، وعنوانة لغايات التبليغ:  -  -  - ، ورقم هاتفه: 0</v>
      </c>
      <c r="B757" s="1630"/>
      <c r="C757" s="1630"/>
      <c r="D757" s="1630"/>
      <c r="E757" s="786"/>
      <c r="F757" s="786"/>
      <c r="G757" s="787"/>
      <c r="H757" s="786"/>
    </row>
    <row r="758" spans="1:8" ht="15.75">
      <c r="A758" s="1629" t="s">
        <v>753</v>
      </c>
      <c r="B758" s="1629"/>
      <c r="C758" s="1629"/>
      <c r="D758" s="1629"/>
    </row>
    <row r="759" spans="1:8" ht="32.1" customHeight="1">
      <c r="A759" s="1632" t="str">
        <f>"لاحقا لعقد التاجير رقم "&amp;'مدخلات العقود'!$J$14&amp;" الموقع فيما الفريقين بتاريخ "&amp;TEXT('مدخلات العقود'!$J$15,"dd/mm/yyyy")&amp;" والمشار اليه لاحقا بـ (عقد التأجير) وذلك لتاجير العين المؤجرة الموصوفة في البند رقم (5) من عقد التأجير والمشار اليها لاحقا بـ 'العين المؤجرة' تاجيرا منتهيا بالتمليك،"&amp;" وبما ان الفريق الاول يرغب بتفويض الفريق الثاني بحيث يكون الاخير وكيلا عنه للقيام بكافة الخدمات المحددة بموجب هذا العقد."</f>
        <v>لاحقا لعقد التاجير رقم  الموقع فيما الفريقين بتاريخ 00/01/1900 والمشار اليه لاحقا بـ (عقد التأجير) وذلك لتاجير العين المؤجرة الموصوفة في البند رقم (5) من عقد التأجير والمشار اليها لاحقا بـ 'العين المؤجرة' تاجيرا منتهيا بالتمليك، وبما ان الفريق الاول يرغب بتفويض الفريق الثاني بحيث يكون الاخير وكيلا عنه للقيام بكافة الخدمات المحددة بموجب هذا العقد.</v>
      </c>
      <c r="B759" s="1633"/>
      <c r="C759" s="1633"/>
      <c r="D759" s="1633"/>
    </row>
    <row r="760" spans="1:8" ht="48" customHeight="1">
      <c r="A760" s="1629" t="s">
        <v>1127</v>
      </c>
      <c r="B760" s="1619"/>
      <c r="C760" s="1619"/>
      <c r="D760" s="1619"/>
    </row>
    <row r="761" spans="1:8" ht="15.75">
      <c r="A761" s="1629" t="s">
        <v>960</v>
      </c>
      <c r="B761" s="1619"/>
      <c r="C761" s="1619"/>
      <c r="D761" s="1619"/>
    </row>
    <row r="762" spans="1:8" ht="15.75">
      <c r="A762" s="1629" t="s">
        <v>961</v>
      </c>
      <c r="B762" s="1619"/>
      <c r="C762" s="1619"/>
      <c r="D762" s="1619"/>
    </row>
    <row r="763" spans="1:8" ht="15.75">
      <c r="A763" s="1630" t="s">
        <v>1120</v>
      </c>
      <c r="B763" s="1619"/>
      <c r="C763" s="1619"/>
      <c r="D763" s="1619"/>
    </row>
    <row r="764" spans="1:8" ht="32.1" customHeight="1">
      <c r="A764" s="1629" t="s">
        <v>754</v>
      </c>
      <c r="B764" s="1619"/>
      <c r="C764" s="1619"/>
      <c r="D764" s="1619"/>
    </row>
    <row r="765" spans="1:8" ht="15.75">
      <c r="A765" s="1629" t="s">
        <v>755</v>
      </c>
      <c r="B765" s="1619"/>
      <c r="C765" s="1619"/>
      <c r="D765" s="1619"/>
    </row>
    <row r="766" spans="1:8" ht="32.1" customHeight="1">
      <c r="A766" s="1629" t="s">
        <v>1215</v>
      </c>
      <c r="B766" s="1619"/>
      <c r="C766" s="1619"/>
      <c r="D766" s="1619"/>
    </row>
    <row r="767" spans="1:8" ht="15.75">
      <c r="A767" s="1630" t="s">
        <v>1121</v>
      </c>
      <c r="B767" s="1619"/>
      <c r="C767" s="1619"/>
      <c r="D767" s="1619"/>
    </row>
    <row r="768" spans="1:8" ht="15.75">
      <c r="A768" s="1630" t="s">
        <v>1132</v>
      </c>
      <c r="B768" s="1619"/>
      <c r="C768" s="1619"/>
      <c r="D768" s="1619"/>
    </row>
    <row r="769" spans="1:4" ht="15.75">
      <c r="A769" s="1630" t="s">
        <v>756</v>
      </c>
      <c r="B769" s="1619"/>
      <c r="C769" s="1619"/>
      <c r="D769" s="1619"/>
    </row>
    <row r="770" spans="1:4" ht="15.75">
      <c r="A770" s="1630" t="s">
        <v>962</v>
      </c>
      <c r="B770" s="1619"/>
      <c r="C770" s="1619"/>
      <c r="D770" s="1619"/>
    </row>
    <row r="771" spans="1:4" ht="15.75">
      <c r="A771" s="1630" t="s">
        <v>757</v>
      </c>
      <c r="B771" s="1619"/>
      <c r="C771" s="1619"/>
      <c r="D771" s="1619"/>
    </row>
    <row r="772" spans="1:4" ht="15.75">
      <c r="A772" s="1629" t="s">
        <v>758</v>
      </c>
      <c r="B772" s="1619"/>
      <c r="C772" s="1619"/>
      <c r="D772" s="1619"/>
    </row>
    <row r="773" spans="1:4" ht="15.75">
      <c r="A773" s="1630" t="s">
        <v>759</v>
      </c>
      <c r="B773" s="1619"/>
      <c r="C773" s="1619"/>
      <c r="D773" s="1619"/>
    </row>
    <row r="774" spans="1:4" ht="15.75">
      <c r="A774" s="1629" t="s">
        <v>1122</v>
      </c>
      <c r="B774" s="1619"/>
      <c r="C774" s="1619"/>
      <c r="D774" s="1619"/>
    </row>
    <row r="775" spans="1:4" ht="111" customHeight="1">
      <c r="A775" s="1629" t="s">
        <v>1128</v>
      </c>
      <c r="B775" s="1629"/>
      <c r="C775" s="1629"/>
      <c r="D775" s="1629"/>
    </row>
    <row r="776" spans="1:4" ht="15.75">
      <c r="A776" s="1629" t="s">
        <v>963</v>
      </c>
      <c r="B776" s="1629"/>
      <c r="C776" s="1629"/>
      <c r="D776" s="1629"/>
    </row>
    <row r="777" spans="1:4" ht="15.75">
      <c r="A777" s="1630" t="s">
        <v>760</v>
      </c>
      <c r="B777" s="1619"/>
      <c r="C777" s="1619"/>
      <c r="D777" s="1619"/>
    </row>
    <row r="778" spans="1:4" ht="105" customHeight="1">
      <c r="A778" s="1629" t="s">
        <v>964</v>
      </c>
      <c r="B778" s="1619"/>
      <c r="C778" s="1619"/>
      <c r="D778" s="1619"/>
    </row>
    <row r="779" spans="1:4" ht="15.75">
      <c r="A779" s="1630" t="s">
        <v>965</v>
      </c>
      <c r="B779" s="1619"/>
      <c r="C779" s="1619"/>
      <c r="D779" s="1619"/>
    </row>
    <row r="780" spans="1:4" ht="32.1" customHeight="1">
      <c r="A780" s="1629" t="s">
        <v>1129</v>
      </c>
      <c r="B780" s="1619"/>
      <c r="C780" s="1619"/>
      <c r="D780" s="1619"/>
    </row>
    <row r="781" spans="1:4" ht="15.75">
      <c r="A781" s="1630" t="s">
        <v>966</v>
      </c>
      <c r="B781" s="1619"/>
      <c r="C781" s="1619"/>
      <c r="D781" s="1619"/>
    </row>
    <row r="782" spans="1:4" ht="141.94999999999999" customHeight="1">
      <c r="A782" s="1629" t="s">
        <v>1130</v>
      </c>
      <c r="B782" s="1619"/>
      <c r="C782" s="1619"/>
      <c r="D782" s="1619"/>
    </row>
    <row r="783" spans="1:4" ht="15.75">
      <c r="A783" s="1630" t="s">
        <v>967</v>
      </c>
      <c r="B783" s="1619"/>
      <c r="C783" s="1619"/>
      <c r="D783" s="1619"/>
    </row>
    <row r="784" spans="1:4" ht="32.1" customHeight="1">
      <c r="A784" s="1630" t="s">
        <v>1133</v>
      </c>
      <c r="B784" s="1619"/>
      <c r="C784" s="1619"/>
      <c r="D784" s="1619"/>
    </row>
    <row r="785" spans="1:4" ht="15.75">
      <c r="A785" s="1630" t="s">
        <v>761</v>
      </c>
      <c r="B785" s="1619"/>
      <c r="C785" s="1619"/>
      <c r="D785" s="1619"/>
    </row>
    <row r="786" spans="1:4" ht="32.1" customHeight="1">
      <c r="A786" s="1629" t="s">
        <v>968</v>
      </c>
      <c r="B786" s="1619"/>
      <c r="C786" s="1619"/>
      <c r="D786" s="1619"/>
    </row>
    <row r="787" spans="1:4" ht="15.75">
      <c r="A787" s="1630" t="s">
        <v>969</v>
      </c>
      <c r="B787" s="1619"/>
      <c r="C787" s="1619"/>
      <c r="D787" s="1619"/>
    </row>
    <row r="788" spans="1:4" ht="48" customHeight="1">
      <c r="A788" s="1629" t="s">
        <v>1142</v>
      </c>
      <c r="B788" s="1619"/>
      <c r="C788" s="1619"/>
      <c r="D788" s="1619"/>
    </row>
    <row r="789" spans="1:4" ht="32.1" customHeight="1">
      <c r="A789" s="1629" t="s">
        <v>1143</v>
      </c>
      <c r="B789" s="1619"/>
      <c r="C789" s="1619"/>
      <c r="D789" s="1619"/>
    </row>
    <row r="790" spans="1:4" ht="15.75">
      <c r="A790" s="1630" t="s">
        <v>762</v>
      </c>
      <c r="B790" s="1619"/>
      <c r="C790" s="1619"/>
      <c r="D790" s="1619"/>
    </row>
    <row r="791" spans="1:4" ht="15.75">
      <c r="A791" s="1630" t="s">
        <v>763</v>
      </c>
      <c r="B791" s="1619"/>
      <c r="C791" s="1619"/>
      <c r="D791" s="1619"/>
    </row>
    <row r="792" spans="1:4" ht="15.75">
      <c r="A792" s="1629" t="s">
        <v>764</v>
      </c>
      <c r="B792" s="1619"/>
      <c r="C792" s="1619"/>
      <c r="D792" s="1619"/>
    </row>
    <row r="793" spans="1:4" ht="78.95" customHeight="1">
      <c r="A793" s="1629" t="s">
        <v>1160</v>
      </c>
      <c r="B793" s="1619"/>
      <c r="C793" s="1619"/>
      <c r="D793" s="1619"/>
    </row>
    <row r="794" spans="1:4" ht="15.75">
      <c r="A794" s="1629" t="s">
        <v>1011</v>
      </c>
      <c r="B794" s="1619"/>
      <c r="C794" s="1619"/>
      <c r="D794" s="1619"/>
    </row>
    <row r="795" spans="1:4" ht="15.75">
      <c r="A795" s="1629" t="s">
        <v>765</v>
      </c>
      <c r="B795" s="1629"/>
      <c r="C795" s="1629"/>
      <c r="D795" s="1629"/>
    </row>
    <row r="796" spans="1:4" ht="32.1" customHeight="1">
      <c r="A796" s="1629" t="s">
        <v>1134</v>
      </c>
      <c r="B796" s="1629"/>
      <c r="C796" s="1629"/>
      <c r="D796" s="1629"/>
    </row>
    <row r="797" spans="1:4" ht="48" customHeight="1">
      <c r="A797" s="1629" t="s">
        <v>1135</v>
      </c>
      <c r="B797" s="1629"/>
      <c r="C797" s="1629"/>
      <c r="D797" s="1629"/>
    </row>
    <row r="798" spans="1:4" ht="15.75">
      <c r="A798" s="1630" t="s">
        <v>766</v>
      </c>
      <c r="B798" s="1630"/>
      <c r="C798" s="1630"/>
      <c r="D798" s="1630"/>
    </row>
    <row r="799" spans="1:4" ht="32.1" customHeight="1">
      <c r="A799" s="1629" t="s">
        <v>1136</v>
      </c>
      <c r="B799" s="1619"/>
      <c r="C799" s="1619"/>
      <c r="D799" s="1619"/>
    </row>
    <row r="800" spans="1:4" ht="15.75">
      <c r="A800" s="1630" t="s">
        <v>767</v>
      </c>
      <c r="B800" s="1619"/>
      <c r="C800" s="1619"/>
      <c r="D800" s="1619"/>
    </row>
    <row r="801" spans="1:4" ht="15.75">
      <c r="A801" s="1630" t="s">
        <v>768</v>
      </c>
      <c r="B801" s="1619"/>
      <c r="C801" s="1619"/>
      <c r="D801" s="1619"/>
    </row>
    <row r="802" spans="1:4" ht="78.95" customHeight="1">
      <c r="A802" s="1629" t="s">
        <v>769</v>
      </c>
      <c r="B802" s="1619"/>
      <c r="C802" s="1619"/>
      <c r="D802" s="1619"/>
    </row>
    <row r="803" spans="1:4" ht="15.75">
      <c r="A803" s="1630" t="s">
        <v>1137</v>
      </c>
      <c r="B803" s="1619"/>
      <c r="C803" s="1619"/>
      <c r="D803" s="1619"/>
    </row>
    <row r="804" spans="1:4" ht="15.75">
      <c r="A804" s="1629" t="s">
        <v>1138</v>
      </c>
      <c r="B804" s="1619"/>
      <c r="C804" s="1619"/>
      <c r="D804" s="1619"/>
    </row>
    <row r="805" spans="1:4" ht="15.75">
      <c r="A805" s="1630" t="s">
        <v>770</v>
      </c>
      <c r="B805" s="1619"/>
      <c r="C805" s="1619"/>
      <c r="D805" s="1619"/>
    </row>
    <row r="806" spans="1:4" ht="15.75">
      <c r="A806" s="1630" t="s">
        <v>1123</v>
      </c>
      <c r="B806" s="1619"/>
      <c r="C806" s="1619"/>
      <c r="D806" s="1619"/>
    </row>
    <row r="807" spans="1:4" ht="15.75">
      <c r="A807" s="1630" t="s">
        <v>1124</v>
      </c>
      <c r="B807" s="1619"/>
      <c r="C807" s="1619"/>
      <c r="D807" s="1619"/>
    </row>
    <row r="808" spans="1:4" ht="32.1" customHeight="1">
      <c r="A808" s="1630" t="s">
        <v>1125</v>
      </c>
      <c r="B808" s="1619"/>
      <c r="C808" s="1619"/>
      <c r="D808" s="1619"/>
    </row>
    <row r="809" spans="1:4" ht="15.75">
      <c r="A809" s="1630" t="s">
        <v>771</v>
      </c>
      <c r="B809" s="1619"/>
      <c r="C809" s="1619"/>
      <c r="D809" s="1619"/>
    </row>
    <row r="810" spans="1:4" ht="15.75">
      <c r="A810" s="1629" t="s">
        <v>772</v>
      </c>
      <c r="B810" s="1619"/>
      <c r="C810" s="1619"/>
      <c r="D810" s="1619"/>
    </row>
    <row r="811" spans="1:4" ht="32.1" customHeight="1">
      <c r="A811" s="1629" t="s">
        <v>1139</v>
      </c>
      <c r="B811" s="1619"/>
      <c r="C811" s="1619"/>
      <c r="D811" s="1619"/>
    </row>
    <row r="812" spans="1:4" ht="32.1" customHeight="1">
      <c r="A812" s="1629" t="s">
        <v>1126</v>
      </c>
      <c r="B812" s="1619"/>
      <c r="C812" s="1619"/>
      <c r="D812" s="1619"/>
    </row>
    <row r="813" spans="1:4" ht="15.75">
      <c r="A813" s="1629" t="s">
        <v>1140</v>
      </c>
      <c r="B813" s="1619"/>
      <c r="C813" s="1619"/>
      <c r="D813" s="1619"/>
    </row>
    <row r="814" spans="1:4" ht="15.75">
      <c r="A814" s="1630" t="s">
        <v>773</v>
      </c>
      <c r="B814" s="1619"/>
      <c r="C814" s="1619"/>
      <c r="D814" s="1619"/>
    </row>
    <row r="815" spans="1:4" ht="32.1" customHeight="1">
      <c r="A815" s="1629" t="s">
        <v>774</v>
      </c>
      <c r="B815" s="1629"/>
      <c r="C815" s="1629"/>
      <c r="D815" s="1629"/>
    </row>
    <row r="816" spans="1:4" ht="15.75">
      <c r="A816" s="1629" t="s">
        <v>775</v>
      </c>
      <c r="B816" s="1619"/>
      <c r="C816" s="1619"/>
      <c r="D816" s="1619"/>
    </row>
    <row r="817" spans="1:4" ht="48" customHeight="1">
      <c r="A817" s="1629" t="s">
        <v>1145</v>
      </c>
      <c r="B817" s="1619"/>
      <c r="C817" s="1619"/>
      <c r="D817" s="1619"/>
    </row>
    <row r="818" spans="1:4" ht="15.75">
      <c r="A818" s="1629" t="s">
        <v>776</v>
      </c>
      <c r="B818" s="1619"/>
      <c r="C818" s="1619"/>
      <c r="D818" s="1619"/>
    </row>
    <row r="819" spans="1:4" ht="32.1" customHeight="1">
      <c r="A819" s="1629" t="s">
        <v>1144</v>
      </c>
      <c r="B819" s="1619"/>
      <c r="C819" s="1619"/>
      <c r="D819" s="1619"/>
    </row>
    <row r="820" spans="1:4" ht="15.75">
      <c r="A820" s="1630" t="s">
        <v>777</v>
      </c>
      <c r="B820" s="1619"/>
      <c r="C820" s="1619"/>
      <c r="D820" s="1619"/>
    </row>
    <row r="821" spans="1:4" ht="78.95" customHeight="1">
      <c r="A821" s="1629" t="s">
        <v>778</v>
      </c>
      <c r="B821" s="1619"/>
      <c r="C821" s="1619"/>
      <c r="D821" s="1619"/>
    </row>
    <row r="822" spans="1:4" ht="15.75">
      <c r="A822" s="1630" t="s">
        <v>779</v>
      </c>
      <c r="B822" s="1619"/>
      <c r="C822" s="1619"/>
      <c r="D822" s="1619"/>
    </row>
    <row r="823" spans="1:4" ht="32.1" customHeight="1">
      <c r="A823" s="1629" t="s">
        <v>780</v>
      </c>
      <c r="B823" s="1619"/>
      <c r="C823" s="1619"/>
      <c r="D823" s="1619"/>
    </row>
    <row r="824" spans="1:4" ht="32.1" customHeight="1">
      <c r="A824" s="1629" t="s">
        <v>1141</v>
      </c>
      <c r="B824" s="1619"/>
      <c r="C824" s="1619"/>
      <c r="D824" s="1619"/>
    </row>
    <row r="825" spans="1:4" ht="15.75">
      <c r="A825" s="1629" t="s">
        <v>781</v>
      </c>
      <c r="B825" s="1619"/>
      <c r="C825" s="1619"/>
      <c r="D825" s="1619"/>
    </row>
    <row r="826" spans="1:4" ht="15.75">
      <c r="A826" s="1629" t="str">
        <f>"9. يدخل هذا العقد حيز التنفيذ اعتبارا من تاريخ "&amp;TEXT('مدخلات العقود'!$J$15,"dd/mm/yyyy")</f>
        <v>9. يدخل هذا العقد حيز التنفيذ اعتبارا من تاريخ 00/01/1900</v>
      </c>
      <c r="B826" s="1619"/>
      <c r="C826" s="1619"/>
      <c r="D826" s="1619"/>
    </row>
    <row r="827" spans="1:4" ht="15.75">
      <c r="A827" s="1629" t="s">
        <v>971</v>
      </c>
      <c r="B827" s="1619"/>
      <c r="C827" s="1619"/>
      <c r="D827" s="1619"/>
    </row>
    <row r="828" spans="1:4" ht="15.75">
      <c r="A828" s="1629" t="s">
        <v>782</v>
      </c>
      <c r="B828" s="1619"/>
      <c r="C828" s="1619"/>
      <c r="D828" s="1619"/>
    </row>
    <row r="829" spans="1:4" ht="15.75">
      <c r="A829" s="1629" t="s">
        <v>970</v>
      </c>
      <c r="B829" s="1619"/>
      <c r="C829" s="1619"/>
      <c r="D829" s="1619"/>
    </row>
    <row r="830" spans="1:4">
      <c r="A830" s="780"/>
      <c r="B830" s="780"/>
      <c r="C830" s="780"/>
      <c r="D830" s="780"/>
    </row>
  </sheetData>
  <mergeCells count="857">
    <mergeCell ref="A89:D89"/>
    <mergeCell ref="A396:D396"/>
    <mergeCell ref="A825:D825"/>
    <mergeCell ref="A826:D826"/>
    <mergeCell ref="A827:D827"/>
    <mergeCell ref="A828:D828"/>
    <mergeCell ref="A829:D829"/>
    <mergeCell ref="A816:D816"/>
    <mergeCell ref="A817:D817"/>
    <mergeCell ref="A818:D818"/>
    <mergeCell ref="A819:D819"/>
    <mergeCell ref="A820:D820"/>
    <mergeCell ref="A821:D821"/>
    <mergeCell ref="A822:D822"/>
    <mergeCell ref="A823:D823"/>
    <mergeCell ref="A824:D824"/>
    <mergeCell ref="A807:D807"/>
    <mergeCell ref="A808:D808"/>
    <mergeCell ref="A809:D809"/>
    <mergeCell ref="A810:D810"/>
    <mergeCell ref="A811:D811"/>
    <mergeCell ref="A812:D812"/>
    <mergeCell ref="A813:D813"/>
    <mergeCell ref="A814:D814"/>
    <mergeCell ref="A815:D815"/>
    <mergeCell ref="A798:D798"/>
    <mergeCell ref="A799:D799"/>
    <mergeCell ref="A800:D800"/>
    <mergeCell ref="A801:D801"/>
    <mergeCell ref="A802:D802"/>
    <mergeCell ref="A803:D803"/>
    <mergeCell ref="A804:D804"/>
    <mergeCell ref="A805:D805"/>
    <mergeCell ref="A806:D806"/>
    <mergeCell ref="A789:D789"/>
    <mergeCell ref="A790:D790"/>
    <mergeCell ref="A791:D791"/>
    <mergeCell ref="A792:D792"/>
    <mergeCell ref="A793:D793"/>
    <mergeCell ref="A794:D794"/>
    <mergeCell ref="A795:D795"/>
    <mergeCell ref="A796:D796"/>
    <mergeCell ref="A797:D797"/>
    <mergeCell ref="A780:D780"/>
    <mergeCell ref="A781:D781"/>
    <mergeCell ref="A782:D782"/>
    <mergeCell ref="A783:D783"/>
    <mergeCell ref="A784:D784"/>
    <mergeCell ref="A785:D785"/>
    <mergeCell ref="A786:D786"/>
    <mergeCell ref="A787:D787"/>
    <mergeCell ref="A788:D788"/>
    <mergeCell ref="A771:D771"/>
    <mergeCell ref="A772:D772"/>
    <mergeCell ref="A773:D773"/>
    <mergeCell ref="A774:D774"/>
    <mergeCell ref="A775:D775"/>
    <mergeCell ref="A776:D776"/>
    <mergeCell ref="A777:D777"/>
    <mergeCell ref="A778:D778"/>
    <mergeCell ref="A779:D779"/>
    <mergeCell ref="A762:D762"/>
    <mergeCell ref="A763:D763"/>
    <mergeCell ref="A764:D764"/>
    <mergeCell ref="A765:D765"/>
    <mergeCell ref="A766:D766"/>
    <mergeCell ref="A767:D767"/>
    <mergeCell ref="A768:D768"/>
    <mergeCell ref="A769:D769"/>
    <mergeCell ref="A770:D770"/>
    <mergeCell ref="A753:D753"/>
    <mergeCell ref="A754:D754"/>
    <mergeCell ref="A755:D755"/>
    <mergeCell ref="A756:D756"/>
    <mergeCell ref="A757:D757"/>
    <mergeCell ref="A758:D758"/>
    <mergeCell ref="A759:D759"/>
    <mergeCell ref="A760:D760"/>
    <mergeCell ref="A761:D761"/>
    <mergeCell ref="E608:H608"/>
    <mergeCell ref="A609:D609"/>
    <mergeCell ref="E609:H609"/>
    <mergeCell ref="A610:D610"/>
    <mergeCell ref="E610:H610"/>
    <mergeCell ref="A611:D611"/>
    <mergeCell ref="E611:H611"/>
    <mergeCell ref="A612:D612"/>
    <mergeCell ref="E612:H612"/>
    <mergeCell ref="E602:H602"/>
    <mergeCell ref="A603:D603"/>
    <mergeCell ref="E603:H603"/>
    <mergeCell ref="A604:D604"/>
    <mergeCell ref="A605:D605"/>
    <mergeCell ref="E605:H605"/>
    <mergeCell ref="A606:D606"/>
    <mergeCell ref="E606:H606"/>
    <mergeCell ref="E607:H607"/>
    <mergeCell ref="A602:D602"/>
    <mergeCell ref="A607:D607"/>
    <mergeCell ref="E596:H596"/>
    <mergeCell ref="A597:D597"/>
    <mergeCell ref="E597:H597"/>
    <mergeCell ref="A598:D598"/>
    <mergeCell ref="E598:H598"/>
    <mergeCell ref="E599:H599"/>
    <mergeCell ref="E600:H600"/>
    <mergeCell ref="A601:D601"/>
    <mergeCell ref="E601:H601"/>
    <mergeCell ref="A599:D599"/>
    <mergeCell ref="A600:D600"/>
    <mergeCell ref="A596:D596"/>
    <mergeCell ref="E589:H589"/>
    <mergeCell ref="A591:D591"/>
    <mergeCell ref="E591:H591"/>
    <mergeCell ref="A592:D592"/>
    <mergeCell ref="E592:H592"/>
    <mergeCell ref="A593:D593"/>
    <mergeCell ref="E593:H593"/>
    <mergeCell ref="A594:D594"/>
    <mergeCell ref="A595:D595"/>
    <mergeCell ref="E595:H595"/>
    <mergeCell ref="A590:D590"/>
    <mergeCell ref="A589:D589"/>
    <mergeCell ref="E583:H583"/>
    <mergeCell ref="E584:H584"/>
    <mergeCell ref="A585:D585"/>
    <mergeCell ref="E585:H585"/>
    <mergeCell ref="A586:D586"/>
    <mergeCell ref="E586:H586"/>
    <mergeCell ref="A587:D587"/>
    <mergeCell ref="A588:D588"/>
    <mergeCell ref="E588:H588"/>
    <mergeCell ref="A584:D584"/>
    <mergeCell ref="A583:D583"/>
    <mergeCell ref="E576:H576"/>
    <mergeCell ref="A577:D577"/>
    <mergeCell ref="E577:H577"/>
    <mergeCell ref="E578:H578"/>
    <mergeCell ref="E580:H580"/>
    <mergeCell ref="A581:D581"/>
    <mergeCell ref="E581:H581"/>
    <mergeCell ref="A582:D582"/>
    <mergeCell ref="E582:H582"/>
    <mergeCell ref="A578:D578"/>
    <mergeCell ref="A579:D579"/>
    <mergeCell ref="A580:D580"/>
    <mergeCell ref="E569:H569"/>
    <mergeCell ref="E570:H570"/>
    <mergeCell ref="A571:D571"/>
    <mergeCell ref="E571:H571"/>
    <mergeCell ref="E572:H572"/>
    <mergeCell ref="A573:D573"/>
    <mergeCell ref="E574:H574"/>
    <mergeCell ref="A575:D575"/>
    <mergeCell ref="E575:H575"/>
    <mergeCell ref="E560:H560"/>
    <mergeCell ref="A561:D561"/>
    <mergeCell ref="E562:H562"/>
    <mergeCell ref="A563:D563"/>
    <mergeCell ref="E563:H563"/>
    <mergeCell ref="E564:H564"/>
    <mergeCell ref="E565:H565"/>
    <mergeCell ref="E566:H566"/>
    <mergeCell ref="E567:H567"/>
    <mergeCell ref="A566:D566"/>
    <mergeCell ref="A567:D567"/>
    <mergeCell ref="A562:D562"/>
    <mergeCell ref="A564:D564"/>
    <mergeCell ref="A565:D565"/>
    <mergeCell ref="E557:H557"/>
    <mergeCell ref="A558:D558"/>
    <mergeCell ref="A559:D559"/>
    <mergeCell ref="E559:H559"/>
    <mergeCell ref="A552:D552"/>
    <mergeCell ref="A553:D553"/>
    <mergeCell ref="A554:D554"/>
    <mergeCell ref="A555:D555"/>
    <mergeCell ref="A556:D556"/>
    <mergeCell ref="A557:D557"/>
    <mergeCell ref="E550:H550"/>
    <mergeCell ref="E551:H551"/>
    <mergeCell ref="E553:H553"/>
    <mergeCell ref="E554:H554"/>
    <mergeCell ref="E555:H555"/>
    <mergeCell ref="E556:H556"/>
    <mergeCell ref="A550:D550"/>
    <mergeCell ref="A551:D551"/>
    <mergeCell ref="E542:H542"/>
    <mergeCell ref="E544:H544"/>
    <mergeCell ref="A545:D545"/>
    <mergeCell ref="A546:D546"/>
    <mergeCell ref="E546:H546"/>
    <mergeCell ref="A547:D547"/>
    <mergeCell ref="E547:H547"/>
    <mergeCell ref="A549:D549"/>
    <mergeCell ref="E549:H549"/>
    <mergeCell ref="A548:D548"/>
    <mergeCell ref="A542:D542"/>
    <mergeCell ref="E538:H538"/>
    <mergeCell ref="A539:D539"/>
    <mergeCell ref="E539:H539"/>
    <mergeCell ref="A533:D533"/>
    <mergeCell ref="A535:D535"/>
    <mergeCell ref="A536:D536"/>
    <mergeCell ref="A538:D538"/>
    <mergeCell ref="A537:D537"/>
    <mergeCell ref="E540:H540"/>
    <mergeCell ref="A540:D540"/>
    <mergeCell ref="A153:D153"/>
    <mergeCell ref="A154:D154"/>
    <mergeCell ref="A161:B161"/>
    <mergeCell ref="E531:H531"/>
    <mergeCell ref="E532:H532"/>
    <mergeCell ref="E533:H533"/>
    <mergeCell ref="E535:H535"/>
    <mergeCell ref="E536:H536"/>
    <mergeCell ref="E537:H537"/>
    <mergeCell ref="C161:D161"/>
    <mergeCell ref="A162:D162"/>
    <mergeCell ref="A163:D163"/>
    <mergeCell ref="A165:D165"/>
    <mergeCell ref="A166:D166"/>
    <mergeCell ref="B158:D158"/>
    <mergeCell ref="B159:D159"/>
    <mergeCell ref="A160:B160"/>
    <mergeCell ref="C160:D160"/>
    <mergeCell ref="A173:D173"/>
    <mergeCell ref="A174:D174"/>
    <mergeCell ref="A175:D175"/>
    <mergeCell ref="A176:D176"/>
    <mergeCell ref="A177:D177"/>
    <mergeCell ref="A178:D178"/>
    <mergeCell ref="A132:D132"/>
    <mergeCell ref="A133:D133"/>
    <mergeCell ref="A134:D134"/>
    <mergeCell ref="A404:D404"/>
    <mergeCell ref="C405:D405"/>
    <mergeCell ref="B143:D143"/>
    <mergeCell ref="B144:D144"/>
    <mergeCell ref="B145:D145"/>
    <mergeCell ref="A146:D146"/>
    <mergeCell ref="A147:D147"/>
    <mergeCell ref="A148:D148"/>
    <mergeCell ref="A137:D137"/>
    <mergeCell ref="A138:D138"/>
    <mergeCell ref="A139:D139"/>
    <mergeCell ref="A140:D140"/>
    <mergeCell ref="A141:D141"/>
    <mergeCell ref="B142:D142"/>
    <mergeCell ref="B155:D155"/>
    <mergeCell ref="B156:D156"/>
    <mergeCell ref="B157:D157"/>
    <mergeCell ref="A149:D149"/>
    <mergeCell ref="A150:D150"/>
    <mergeCell ref="A151:D151"/>
    <mergeCell ref="A152:D152"/>
    <mergeCell ref="A123:D123"/>
    <mergeCell ref="A124:D124"/>
    <mergeCell ref="A125:D125"/>
    <mergeCell ref="A126:D126"/>
    <mergeCell ref="A127:D127"/>
    <mergeCell ref="A128:D128"/>
    <mergeCell ref="A129:D129"/>
    <mergeCell ref="A130:D130"/>
    <mergeCell ref="A131:D131"/>
    <mergeCell ref="A114:D114"/>
    <mergeCell ref="A115:D115"/>
    <mergeCell ref="A116:D116"/>
    <mergeCell ref="A117:D117"/>
    <mergeCell ref="A118:D118"/>
    <mergeCell ref="A119:D119"/>
    <mergeCell ref="A120:D120"/>
    <mergeCell ref="A121:D121"/>
    <mergeCell ref="A122:D122"/>
    <mergeCell ref="A105:D105"/>
    <mergeCell ref="A106:D106"/>
    <mergeCell ref="A107:D107"/>
    <mergeCell ref="A108:D108"/>
    <mergeCell ref="A109:D109"/>
    <mergeCell ref="A110:D110"/>
    <mergeCell ref="A111:D111"/>
    <mergeCell ref="A112:D112"/>
    <mergeCell ref="A113:D113"/>
    <mergeCell ref="C95:D95"/>
    <mergeCell ref="A96:B96"/>
    <mergeCell ref="C96:D96"/>
    <mergeCell ref="A97:D97"/>
    <mergeCell ref="A98:D98"/>
    <mergeCell ref="A101:D101"/>
    <mergeCell ref="A102:D102"/>
    <mergeCell ref="A103:D103"/>
    <mergeCell ref="A104:D104"/>
    <mergeCell ref="A1:D1"/>
    <mergeCell ref="A2:D2"/>
    <mergeCell ref="A3:D3"/>
    <mergeCell ref="A4:D4"/>
    <mergeCell ref="A5:D5"/>
    <mergeCell ref="A6:D6"/>
    <mergeCell ref="A14:D14"/>
    <mergeCell ref="A15:D15"/>
    <mergeCell ref="A16:D16"/>
    <mergeCell ref="A17:D17"/>
    <mergeCell ref="A18:D18"/>
    <mergeCell ref="A19:D19"/>
    <mergeCell ref="A8:D8"/>
    <mergeCell ref="B9:D9"/>
    <mergeCell ref="B10:D10"/>
    <mergeCell ref="B11:D11"/>
    <mergeCell ref="B12:D12"/>
    <mergeCell ref="A13:D13"/>
    <mergeCell ref="A28:B28"/>
    <mergeCell ref="C28:D28"/>
    <mergeCell ref="A29:B29"/>
    <mergeCell ref="C29:D29"/>
    <mergeCell ref="A30:D30"/>
    <mergeCell ref="A31:D31"/>
    <mergeCell ref="A20:D20"/>
    <mergeCell ref="B23:D23"/>
    <mergeCell ref="B24:D24"/>
    <mergeCell ref="B25:D25"/>
    <mergeCell ref="B26:D26"/>
    <mergeCell ref="B27:D27"/>
    <mergeCell ref="A40:D40"/>
    <mergeCell ref="A41:D41"/>
    <mergeCell ref="A42:D42"/>
    <mergeCell ref="A43:D43"/>
    <mergeCell ref="A44:D44"/>
    <mergeCell ref="A45:D45"/>
    <mergeCell ref="A34:D34"/>
    <mergeCell ref="A35:D35"/>
    <mergeCell ref="A36:D36"/>
    <mergeCell ref="A37:D37"/>
    <mergeCell ref="A38:D38"/>
    <mergeCell ref="A39:D39"/>
    <mergeCell ref="A52:D52"/>
    <mergeCell ref="A53:D53"/>
    <mergeCell ref="A54:D54"/>
    <mergeCell ref="A55:D55"/>
    <mergeCell ref="A56:D56"/>
    <mergeCell ref="A57:D57"/>
    <mergeCell ref="A46:D46"/>
    <mergeCell ref="A47:D47"/>
    <mergeCell ref="A48:D48"/>
    <mergeCell ref="A49:D49"/>
    <mergeCell ref="A50:D50"/>
    <mergeCell ref="A51:D51"/>
    <mergeCell ref="A58:D58"/>
    <mergeCell ref="A59:D59"/>
    <mergeCell ref="A60:D60"/>
    <mergeCell ref="A61:D61"/>
    <mergeCell ref="A62:D62"/>
    <mergeCell ref="A63:D63"/>
    <mergeCell ref="A68:D68"/>
    <mergeCell ref="A69:D69"/>
    <mergeCell ref="A70:D70"/>
    <mergeCell ref="A64:D64"/>
    <mergeCell ref="A65:D65"/>
    <mergeCell ref="A66:D66"/>
    <mergeCell ref="A67:D67"/>
    <mergeCell ref="A135:D135"/>
    <mergeCell ref="C136:D136"/>
    <mergeCell ref="A71:D71"/>
    <mergeCell ref="A72:D72"/>
    <mergeCell ref="A73:D73"/>
    <mergeCell ref="A75:D75"/>
    <mergeCell ref="B76:D76"/>
    <mergeCell ref="B77:D77"/>
    <mergeCell ref="B78:D78"/>
    <mergeCell ref="B79:D79"/>
    <mergeCell ref="A80:D80"/>
    <mergeCell ref="A81:D81"/>
    <mergeCell ref="A82:D82"/>
    <mergeCell ref="A83:D83"/>
    <mergeCell ref="A84:D84"/>
    <mergeCell ref="A85:D85"/>
    <mergeCell ref="A86:D86"/>
    <mergeCell ref="A87:D87"/>
    <mergeCell ref="B90:D90"/>
    <mergeCell ref="B91:D91"/>
    <mergeCell ref="B92:D92"/>
    <mergeCell ref="B93:D93"/>
    <mergeCell ref="B94:D94"/>
    <mergeCell ref="A95:B95"/>
    <mergeCell ref="A167:D167"/>
    <mergeCell ref="A168:D168"/>
    <mergeCell ref="A169:D169"/>
    <mergeCell ref="A170:D170"/>
    <mergeCell ref="A171:D171"/>
    <mergeCell ref="A172:D172"/>
    <mergeCell ref="A185:D185"/>
    <mergeCell ref="A186:D186"/>
    <mergeCell ref="A187:D187"/>
    <mergeCell ref="A188:D188"/>
    <mergeCell ref="A189:D189"/>
    <mergeCell ref="A190:D190"/>
    <mergeCell ref="A179:D179"/>
    <mergeCell ref="A180:D180"/>
    <mergeCell ref="A181:D181"/>
    <mergeCell ref="A182:D182"/>
    <mergeCell ref="A183:D183"/>
    <mergeCell ref="A184:D184"/>
    <mergeCell ref="A197:D197"/>
    <mergeCell ref="A198:D198"/>
    <mergeCell ref="A199:D199"/>
    <mergeCell ref="A200:D200"/>
    <mergeCell ref="A201:D201"/>
    <mergeCell ref="A202:D202"/>
    <mergeCell ref="A191:D191"/>
    <mergeCell ref="A192:D192"/>
    <mergeCell ref="A193:D193"/>
    <mergeCell ref="A194:D194"/>
    <mergeCell ref="A195:D195"/>
    <mergeCell ref="A196:D196"/>
    <mergeCell ref="A209:D209"/>
    <mergeCell ref="A210:D210"/>
    <mergeCell ref="A211:D211"/>
    <mergeCell ref="A212:D212"/>
    <mergeCell ref="A213:D213"/>
    <mergeCell ref="A214:D214"/>
    <mergeCell ref="A203:D203"/>
    <mergeCell ref="A204:D204"/>
    <mergeCell ref="A205:D205"/>
    <mergeCell ref="A206:D206"/>
    <mergeCell ref="A207:D207"/>
    <mergeCell ref="A208:D208"/>
    <mergeCell ref="A222:D222"/>
    <mergeCell ref="A223:D223"/>
    <mergeCell ref="A224:D224"/>
    <mergeCell ref="A225:D225"/>
    <mergeCell ref="A226:D226"/>
    <mergeCell ref="A227:D227"/>
    <mergeCell ref="A215:D215"/>
    <mergeCell ref="A216:D216"/>
    <mergeCell ref="A217:D217"/>
    <mergeCell ref="A218:D218"/>
    <mergeCell ref="A219:D219"/>
    <mergeCell ref="A221:D221"/>
    <mergeCell ref="A220:D220"/>
    <mergeCell ref="A234:D234"/>
    <mergeCell ref="A235:D235"/>
    <mergeCell ref="A236:D236"/>
    <mergeCell ref="A237:D237"/>
    <mergeCell ref="A238:D238"/>
    <mergeCell ref="A239:D239"/>
    <mergeCell ref="A228:D228"/>
    <mergeCell ref="A229:D229"/>
    <mergeCell ref="A230:D230"/>
    <mergeCell ref="A231:D231"/>
    <mergeCell ref="A232:D232"/>
    <mergeCell ref="A233:D233"/>
    <mergeCell ref="A246:D246"/>
    <mergeCell ref="A247:D247"/>
    <mergeCell ref="A248:D248"/>
    <mergeCell ref="A249:D249"/>
    <mergeCell ref="A250:D250"/>
    <mergeCell ref="A251:D251"/>
    <mergeCell ref="A240:D240"/>
    <mergeCell ref="A241:D241"/>
    <mergeCell ref="A242:D242"/>
    <mergeCell ref="A243:D243"/>
    <mergeCell ref="A244:D244"/>
    <mergeCell ref="A245:D245"/>
    <mergeCell ref="A258:D258"/>
    <mergeCell ref="A259:D259"/>
    <mergeCell ref="A260:D260"/>
    <mergeCell ref="A261:D261"/>
    <mergeCell ref="A262:D262"/>
    <mergeCell ref="E262:H262"/>
    <mergeCell ref="A252:D252"/>
    <mergeCell ref="A253:D253"/>
    <mergeCell ref="A254:D254"/>
    <mergeCell ref="A255:D255"/>
    <mergeCell ref="A256:D256"/>
    <mergeCell ref="A257:D257"/>
    <mergeCell ref="A267:D267"/>
    <mergeCell ref="E267:H267"/>
    <mergeCell ref="A268:D268"/>
    <mergeCell ref="E268:H268"/>
    <mergeCell ref="A269:D269"/>
    <mergeCell ref="E269:H269"/>
    <mergeCell ref="A263:D263"/>
    <mergeCell ref="E263:H263"/>
    <mergeCell ref="A264:D264"/>
    <mergeCell ref="E264:H264"/>
    <mergeCell ref="A266:D266"/>
    <mergeCell ref="E266:H266"/>
    <mergeCell ref="A274:D274"/>
    <mergeCell ref="A275:D275"/>
    <mergeCell ref="E275:H275"/>
    <mergeCell ref="A276:D276"/>
    <mergeCell ref="A277:D277"/>
    <mergeCell ref="E277:H277"/>
    <mergeCell ref="A270:D270"/>
    <mergeCell ref="E270:H270"/>
    <mergeCell ref="A271:D271"/>
    <mergeCell ref="E271:H271"/>
    <mergeCell ref="A272:D272"/>
    <mergeCell ref="A273:D273"/>
    <mergeCell ref="E273:H273"/>
    <mergeCell ref="A282:D282"/>
    <mergeCell ref="E282:H282"/>
    <mergeCell ref="A283:D283"/>
    <mergeCell ref="A284:D284"/>
    <mergeCell ref="E284:H284"/>
    <mergeCell ref="A285:D285"/>
    <mergeCell ref="E285:H285"/>
    <mergeCell ref="A278:D278"/>
    <mergeCell ref="E278:H278"/>
    <mergeCell ref="A279:D279"/>
    <mergeCell ref="A280:D280"/>
    <mergeCell ref="E280:H280"/>
    <mergeCell ref="A281:D281"/>
    <mergeCell ref="E281:H281"/>
    <mergeCell ref="A289:D289"/>
    <mergeCell ref="A290:D290"/>
    <mergeCell ref="E290:H290"/>
    <mergeCell ref="A291:D291"/>
    <mergeCell ref="E291:H291"/>
    <mergeCell ref="A292:D292"/>
    <mergeCell ref="A286:D286"/>
    <mergeCell ref="E286:H286"/>
    <mergeCell ref="A287:D287"/>
    <mergeCell ref="E287:H287"/>
    <mergeCell ref="A288:D288"/>
    <mergeCell ref="E288:H288"/>
    <mergeCell ref="A296:D296"/>
    <mergeCell ref="E296:H296"/>
    <mergeCell ref="A297:D297"/>
    <mergeCell ref="E297:H297"/>
    <mergeCell ref="A298:D298"/>
    <mergeCell ref="E298:H298"/>
    <mergeCell ref="A293:D293"/>
    <mergeCell ref="E293:H293"/>
    <mergeCell ref="A294:D294"/>
    <mergeCell ref="E294:H294"/>
    <mergeCell ref="A295:D295"/>
    <mergeCell ref="E295:H295"/>
    <mergeCell ref="A303:D303"/>
    <mergeCell ref="E303:H303"/>
    <mergeCell ref="A304:D304"/>
    <mergeCell ref="A305:D305"/>
    <mergeCell ref="E305:H305"/>
    <mergeCell ref="A306:D306"/>
    <mergeCell ref="E306:H306"/>
    <mergeCell ref="A299:D299"/>
    <mergeCell ref="A300:D300"/>
    <mergeCell ref="E300:H300"/>
    <mergeCell ref="A301:D301"/>
    <mergeCell ref="E301:H301"/>
    <mergeCell ref="A302:D302"/>
    <mergeCell ref="E302:H302"/>
    <mergeCell ref="A310:D310"/>
    <mergeCell ref="A311:D311"/>
    <mergeCell ref="E311:H311"/>
    <mergeCell ref="A312:D312"/>
    <mergeCell ref="E312:H312"/>
    <mergeCell ref="A313:D313"/>
    <mergeCell ref="E313:H313"/>
    <mergeCell ref="A307:D307"/>
    <mergeCell ref="E307:H307"/>
    <mergeCell ref="A308:D308"/>
    <mergeCell ref="E308:H308"/>
    <mergeCell ref="A309:D309"/>
    <mergeCell ref="E309:H309"/>
    <mergeCell ref="A317:D317"/>
    <mergeCell ref="E317:H317"/>
    <mergeCell ref="A318:D318"/>
    <mergeCell ref="A319:D319"/>
    <mergeCell ref="E319:H319"/>
    <mergeCell ref="A320:D320"/>
    <mergeCell ref="E320:H320"/>
    <mergeCell ref="A314:D314"/>
    <mergeCell ref="E314:H314"/>
    <mergeCell ref="A315:D315"/>
    <mergeCell ref="E315:H315"/>
    <mergeCell ref="A316:D316"/>
    <mergeCell ref="E316:H316"/>
    <mergeCell ref="A325:D325"/>
    <mergeCell ref="A326:D326"/>
    <mergeCell ref="E326:H326"/>
    <mergeCell ref="A327:D327"/>
    <mergeCell ref="E327:H327"/>
    <mergeCell ref="A328:D328"/>
    <mergeCell ref="E328:H328"/>
    <mergeCell ref="A321:D321"/>
    <mergeCell ref="A322:D322"/>
    <mergeCell ref="E322:H322"/>
    <mergeCell ref="A323:D323"/>
    <mergeCell ref="E323:H323"/>
    <mergeCell ref="A324:D324"/>
    <mergeCell ref="E324:H324"/>
    <mergeCell ref="A332:D332"/>
    <mergeCell ref="E332:H332"/>
    <mergeCell ref="A333:D333"/>
    <mergeCell ref="E333:H333"/>
    <mergeCell ref="A334:D334"/>
    <mergeCell ref="E334:H334"/>
    <mergeCell ref="A329:D329"/>
    <mergeCell ref="E329:H329"/>
    <mergeCell ref="A330:D330"/>
    <mergeCell ref="E330:H330"/>
    <mergeCell ref="A331:D331"/>
    <mergeCell ref="E331:H331"/>
    <mergeCell ref="A339:D339"/>
    <mergeCell ref="E339:H339"/>
    <mergeCell ref="A340:D340"/>
    <mergeCell ref="E340:H340"/>
    <mergeCell ref="A341:D341"/>
    <mergeCell ref="E341:H341"/>
    <mergeCell ref="A335:D335"/>
    <mergeCell ref="A336:D336"/>
    <mergeCell ref="E336:H336"/>
    <mergeCell ref="A337:D337"/>
    <mergeCell ref="E337:H337"/>
    <mergeCell ref="A338:D338"/>
    <mergeCell ref="E338:H338"/>
    <mergeCell ref="A460:D460"/>
    <mergeCell ref="A461:D461"/>
    <mergeCell ref="A462:D462"/>
    <mergeCell ref="A455:D455"/>
    <mergeCell ref="A456:D456"/>
    <mergeCell ref="A342:D342"/>
    <mergeCell ref="E342:H342"/>
    <mergeCell ref="A343:D343"/>
    <mergeCell ref="E343:H343"/>
    <mergeCell ref="A344:D344"/>
    <mergeCell ref="A345:D345"/>
    <mergeCell ref="A406:D406"/>
    <mergeCell ref="A407:D407"/>
    <mergeCell ref="A408:D408"/>
    <mergeCell ref="A409:D409"/>
    <mergeCell ref="A410:D410"/>
    <mergeCell ref="B411:D411"/>
    <mergeCell ref="B412:D412"/>
    <mergeCell ref="B413:D413"/>
    <mergeCell ref="B414:D414"/>
    <mergeCell ref="A440:D440"/>
    <mergeCell ref="A441:D441"/>
    <mergeCell ref="A442:D442"/>
    <mergeCell ref="A446:D446"/>
    <mergeCell ref="A675:D675"/>
    <mergeCell ref="A676:D676"/>
    <mergeCell ref="A677:D677"/>
    <mergeCell ref="A690:D690"/>
    <mergeCell ref="A691:D691"/>
    <mergeCell ref="A346:D346"/>
    <mergeCell ref="A347:D347"/>
    <mergeCell ref="A348:D348"/>
    <mergeCell ref="A349:D349"/>
    <mergeCell ref="A350:D350"/>
    <mergeCell ref="A352:D352"/>
    <mergeCell ref="A678:D678"/>
    <mergeCell ref="A679:D679"/>
    <mergeCell ref="B425:D425"/>
    <mergeCell ref="B426:D426"/>
    <mergeCell ref="B427:D427"/>
    <mergeCell ref="B428:D428"/>
    <mergeCell ref="A429:B429"/>
    <mergeCell ref="C429:D429"/>
    <mergeCell ref="A430:B430"/>
    <mergeCell ref="C430:D430"/>
    <mergeCell ref="A458:D458"/>
    <mergeCell ref="A459:D459"/>
    <mergeCell ref="A684:D684"/>
    <mergeCell ref="A685:D685"/>
    <mergeCell ref="A686:D686"/>
    <mergeCell ref="A687:D687"/>
    <mergeCell ref="A688:D688"/>
    <mergeCell ref="A689:D689"/>
    <mergeCell ref="A680:D680"/>
    <mergeCell ref="A681:D681"/>
    <mergeCell ref="A682:D682"/>
    <mergeCell ref="A683:D683"/>
    <mergeCell ref="A696:D696"/>
    <mergeCell ref="A697:D697"/>
    <mergeCell ref="A698:D698"/>
    <mergeCell ref="A699:D699"/>
    <mergeCell ref="A700:D700"/>
    <mergeCell ref="A701:D701"/>
    <mergeCell ref="A692:D692"/>
    <mergeCell ref="A693:D693"/>
    <mergeCell ref="A694:D694"/>
    <mergeCell ref="A695:D695"/>
    <mergeCell ref="A711:D711"/>
    <mergeCell ref="A712:D712"/>
    <mergeCell ref="A713:D713"/>
    <mergeCell ref="A702:D702"/>
    <mergeCell ref="A703:D703"/>
    <mergeCell ref="A704:D704"/>
    <mergeCell ref="A705:D705"/>
    <mergeCell ref="A706:D706"/>
    <mergeCell ref="A707:D707"/>
    <mergeCell ref="A708:D708"/>
    <mergeCell ref="A709:D709"/>
    <mergeCell ref="A710:D710"/>
    <mergeCell ref="A743:D743"/>
    <mergeCell ref="A732:D732"/>
    <mergeCell ref="A733:D733"/>
    <mergeCell ref="A734:D734"/>
    <mergeCell ref="A735:D735"/>
    <mergeCell ref="A736:D736"/>
    <mergeCell ref="A737:D737"/>
    <mergeCell ref="A726:D726"/>
    <mergeCell ref="A727:D727"/>
    <mergeCell ref="A728:D728"/>
    <mergeCell ref="A729:D729"/>
    <mergeCell ref="A730:D730"/>
    <mergeCell ref="A731:D731"/>
    <mergeCell ref="A738:D738"/>
    <mergeCell ref="A739:D739"/>
    <mergeCell ref="A740:D740"/>
    <mergeCell ref="A741:D741"/>
    <mergeCell ref="A742:D742"/>
    <mergeCell ref="A720:D720"/>
    <mergeCell ref="A721:D721"/>
    <mergeCell ref="A722:D722"/>
    <mergeCell ref="A723:D723"/>
    <mergeCell ref="A724:D724"/>
    <mergeCell ref="A725:D725"/>
    <mergeCell ref="A714:D714"/>
    <mergeCell ref="A715:D715"/>
    <mergeCell ref="A716:D716"/>
    <mergeCell ref="A717:D717"/>
    <mergeCell ref="A718:D718"/>
    <mergeCell ref="A719:D719"/>
    <mergeCell ref="A415:D415"/>
    <mergeCell ref="A416:D416"/>
    <mergeCell ref="A418:D418"/>
    <mergeCell ref="A419:D419"/>
    <mergeCell ref="A420:D420"/>
    <mergeCell ref="A750:D750"/>
    <mergeCell ref="A751:D751"/>
    <mergeCell ref="A744:D744"/>
    <mergeCell ref="A745:D745"/>
    <mergeCell ref="A746:D746"/>
    <mergeCell ref="A747:D747"/>
    <mergeCell ref="A748:D748"/>
    <mergeCell ref="A749:D749"/>
    <mergeCell ref="A431:D431"/>
    <mergeCell ref="A432:D432"/>
    <mergeCell ref="A434:D434"/>
    <mergeCell ref="A435:D435"/>
    <mergeCell ref="A436:D436"/>
    <mergeCell ref="A443:D443"/>
    <mergeCell ref="A444:D444"/>
    <mergeCell ref="A448:D448"/>
    <mergeCell ref="A449:D449"/>
    <mergeCell ref="A437:D437"/>
    <mergeCell ref="A438:D438"/>
    <mergeCell ref="A469:D469"/>
    <mergeCell ref="A471:D471"/>
    <mergeCell ref="A472:D472"/>
    <mergeCell ref="A417:D417"/>
    <mergeCell ref="A421:D421"/>
    <mergeCell ref="B424:D424"/>
    <mergeCell ref="A468:D468"/>
    <mergeCell ref="A470:D470"/>
    <mergeCell ref="A422:D422"/>
    <mergeCell ref="A423:D423"/>
    <mergeCell ref="A445:D445"/>
    <mergeCell ref="A447:D447"/>
    <mergeCell ref="A450:D450"/>
    <mergeCell ref="A463:D463"/>
    <mergeCell ref="A464:D464"/>
    <mergeCell ref="A451:D451"/>
    <mergeCell ref="A452:D452"/>
    <mergeCell ref="A454:D454"/>
    <mergeCell ref="A457:D457"/>
    <mergeCell ref="A453:D453"/>
    <mergeCell ref="A465:D465"/>
    <mergeCell ref="A466:D466"/>
    <mergeCell ref="A467:D467"/>
    <mergeCell ref="A439:D439"/>
    <mergeCell ref="A478:D478"/>
    <mergeCell ref="A479:D479"/>
    <mergeCell ref="A480:D480"/>
    <mergeCell ref="A481:D481"/>
    <mergeCell ref="A482:D482"/>
    <mergeCell ref="A483:D483"/>
    <mergeCell ref="A473:D473"/>
    <mergeCell ref="A474:D474"/>
    <mergeCell ref="A475:D475"/>
    <mergeCell ref="A476:D476"/>
    <mergeCell ref="A477:D477"/>
    <mergeCell ref="A491:D491"/>
    <mergeCell ref="A492:D492"/>
    <mergeCell ref="A493:D493"/>
    <mergeCell ref="A494:D494"/>
    <mergeCell ref="A495:D495"/>
    <mergeCell ref="A496:D496"/>
    <mergeCell ref="A484:D484"/>
    <mergeCell ref="A485:D485"/>
    <mergeCell ref="A486:D486"/>
    <mergeCell ref="A487:D487"/>
    <mergeCell ref="A488:D488"/>
    <mergeCell ref="A490:D490"/>
    <mergeCell ref="A489:D489"/>
    <mergeCell ref="A503:D503"/>
    <mergeCell ref="A504:D504"/>
    <mergeCell ref="A505:D505"/>
    <mergeCell ref="A506:D506"/>
    <mergeCell ref="A507:D507"/>
    <mergeCell ref="A508:D508"/>
    <mergeCell ref="A497:D497"/>
    <mergeCell ref="A498:D498"/>
    <mergeCell ref="A499:D499"/>
    <mergeCell ref="A500:D500"/>
    <mergeCell ref="A501:D501"/>
    <mergeCell ref="A502:D502"/>
    <mergeCell ref="A515:D515"/>
    <mergeCell ref="A516:D516"/>
    <mergeCell ref="A517:D517"/>
    <mergeCell ref="A518:D518"/>
    <mergeCell ref="A519:D519"/>
    <mergeCell ref="A520:D520"/>
    <mergeCell ref="A509:D509"/>
    <mergeCell ref="A510:D510"/>
    <mergeCell ref="A511:D511"/>
    <mergeCell ref="A512:D512"/>
    <mergeCell ref="A513:D513"/>
    <mergeCell ref="A514:D514"/>
    <mergeCell ref="A527:D527"/>
    <mergeCell ref="A528:D528"/>
    <mergeCell ref="A529:D529"/>
    <mergeCell ref="A530:D530"/>
    <mergeCell ref="A531:D531"/>
    <mergeCell ref="A532:D532"/>
    <mergeCell ref="A521:D521"/>
    <mergeCell ref="A522:D522"/>
    <mergeCell ref="A523:D523"/>
    <mergeCell ref="A524:D524"/>
    <mergeCell ref="A525:D525"/>
    <mergeCell ref="A526:D526"/>
    <mergeCell ref="A541:D541"/>
    <mergeCell ref="A543:D543"/>
    <mergeCell ref="A544:D544"/>
    <mergeCell ref="F152:F159"/>
    <mergeCell ref="F160:F167"/>
    <mergeCell ref="A351:D351"/>
    <mergeCell ref="A620:D620"/>
    <mergeCell ref="A667:D667"/>
    <mergeCell ref="A613:D613"/>
    <mergeCell ref="A615:D615"/>
    <mergeCell ref="A617:D617"/>
    <mergeCell ref="A619:D619"/>
    <mergeCell ref="A608:D608"/>
    <mergeCell ref="A614:D614"/>
    <mergeCell ref="A616:D616"/>
    <mergeCell ref="A618:D618"/>
    <mergeCell ref="A621:D621"/>
    <mergeCell ref="A568:D568"/>
    <mergeCell ref="A569:D569"/>
    <mergeCell ref="A570:D570"/>
    <mergeCell ref="A572:D572"/>
    <mergeCell ref="A574:D574"/>
    <mergeCell ref="A576:D576"/>
    <mergeCell ref="A560:D560"/>
  </mergeCells>
  <conditionalFormatting sqref="A670:D673">
    <cfRule type="expression" dxfId="30" priority="2">
      <formula>A670=""</formula>
    </cfRule>
  </conditionalFormatting>
  <conditionalFormatting sqref="A399:D402">
    <cfRule type="expression" dxfId="29" priority="1">
      <formula>A399=""</formula>
    </cfRule>
  </conditionalFormatting>
  <pageMargins left="0.5" right="0.5" top="0.5" bottom="0.5" header="0.31496062992125984" footer="0.31496062992125984"/>
  <pageSetup scale="59" fitToWidth="50" fitToHeight="50" orientation="portrait" r:id="rId1"/>
  <headerFooter>
    <oddFooter>&amp;L&amp;"-,Bold"&amp;14الكفلاء (ان انطبق)&amp;11
_____________________________________&amp;C&amp;"-,Bold"&amp;14الفريق الثاني (المستأجر)
__________________________________&amp;R&amp;"-,Bold"&amp;14الفريق الأول (شركة الإجارة الفلسطينية)
_____________________________________</oddFooter>
  </headerFooter>
  <rowBreaks count="19" manualBreakCount="19">
    <brk id="39" max="3" man="1"/>
    <brk id="67" max="3" man="1"/>
    <brk id="106" max="3" man="1"/>
    <brk id="134" max="3" man="1"/>
    <brk id="186" max="3" man="1"/>
    <brk id="228" max="3" man="1"/>
    <brk id="273" max="3" man="1"/>
    <brk id="308" max="3" man="1"/>
    <brk id="352" max="3" man="1"/>
    <brk id="403" max="3" man="1"/>
    <brk id="455" max="3" man="1"/>
    <brk id="497" max="3" man="1"/>
    <brk id="542" max="3" man="1"/>
    <brk id="577" max="3" man="1"/>
    <brk id="621" max="3" man="1"/>
    <brk id="674" max="3" man="1"/>
    <brk id="711" max="3" man="1"/>
    <brk id="752" max="3" man="1"/>
    <brk id="789" max="3" man="1"/>
  </rowBreaks>
  <colBreaks count="1" manualBreakCount="1">
    <brk id="4" max="1048575" man="1"/>
  </colBreaks>
  <drawing r:id="rId2"/>
  <legacy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dimension ref="A1:I75"/>
  <sheetViews>
    <sheetView showGridLines="0" rightToLeft="1" view="pageBreakPreview" zoomScale="65" zoomScaleNormal="115" zoomScaleSheetLayoutView="65" workbookViewId="0">
      <selection activeCell="A64" sqref="A64:D64"/>
    </sheetView>
  </sheetViews>
  <sheetFormatPr defaultColWidth="9.140625" defaultRowHeight="15"/>
  <cols>
    <col min="1" max="1" width="39.7109375" style="612" customWidth="1"/>
    <col min="2" max="2" width="30.140625" style="612" bestFit="1" customWidth="1"/>
    <col min="3" max="3" width="39.7109375" style="612" customWidth="1"/>
    <col min="4" max="4" width="32" style="612" bestFit="1" customWidth="1"/>
    <col min="5" max="5" width="65.140625" style="612" customWidth="1"/>
    <col min="6" max="8" width="9.140625" style="612"/>
    <col min="9" max="9" width="60.5703125" style="612" customWidth="1"/>
    <col min="10" max="16384" width="9.140625" style="612"/>
  </cols>
  <sheetData>
    <row r="1" spans="1:9" ht="30">
      <c r="A1" s="1672" t="s">
        <v>796</v>
      </c>
      <c r="B1" s="1673"/>
      <c r="C1" s="1673"/>
      <c r="D1" s="1674"/>
    </row>
    <row r="2" spans="1:9" ht="30">
      <c r="A2" s="1670" t="s">
        <v>1649</v>
      </c>
      <c r="B2" s="1590"/>
      <c r="C2" s="1590"/>
      <c r="D2" s="1671"/>
    </row>
    <row r="3" spans="1:9" ht="30">
      <c r="A3" s="1213" t="s">
        <v>1646</v>
      </c>
      <c r="B3" s="1253"/>
      <c r="C3" s="1253"/>
      <c r="D3" s="1254"/>
    </row>
    <row r="4" spans="1:9" ht="30">
      <c r="A4" s="1665" t="str">
        <f>"المفوض: "&amp;'مدخلات العقود'!B2 &amp;" حامل هوية رقم:  "&amp;'مدخلات العقود'!D2&amp; " من " &amp;'مدخلات العقود'!J2</f>
        <v xml:space="preserve">المفوض: 0 حامل هوية رقم:  0 من  -  -  - </v>
      </c>
      <c r="B4" s="1666"/>
      <c r="C4" s="1666"/>
      <c r="D4" s="1667"/>
      <c r="E4" s="1665"/>
      <c r="F4" s="1666"/>
      <c r="G4" s="1666"/>
      <c r="H4" s="1667"/>
    </row>
    <row r="5" spans="1:9" ht="30">
      <c r="A5" s="1665" t="s">
        <v>1650</v>
      </c>
      <c r="B5" s="1666"/>
      <c r="C5" s="1666"/>
      <c r="D5" s="1667"/>
    </row>
    <row r="6" spans="1:9" ht="30">
      <c r="A6" s="1255"/>
      <c r="B6" s="1256"/>
      <c r="C6" s="1256"/>
      <c r="D6" s="1257"/>
    </row>
    <row r="7" spans="1:9" ht="115.15" customHeight="1">
      <c r="A7" s="1668" t="str">
        <f>"أنا الموقع أدناه "&amp;'مدخلات العقود'!B2&amp;" أفوض شركة الاجارة الفلسطينية المساهمة الخصوصية المحدودة ، بتعبئة البيانات الناقصة في الكمبيالة رقم (1،2،3،4)  والمرفق صورة عنها بهذا التفويض، "&amp; "دون الحاجة إلى أي إنذار أو إخطار مسبق وإني أسقط حقي بأي دفع سواء تجاه المفوص له أو الدائن أو المظهر / المظهرين و/أو الكفيل وأية خيارات قانونية أخرى كما و أسقط حقي  بالإدعاء و/أو بأي دفع شكلي و/أو موضوعي حول ما جاء في هذ التفويض والأمور الناشئة عنه."</f>
        <v>أنا الموقع أدناه 0 أفوض شركة الاجارة الفلسطينية المساهمة الخصوصية المحدودة ، بتعبئة البيانات الناقصة في الكمبيالة رقم (1،2،3،4)  والمرفق صورة عنها بهذا التفويض، دون الحاجة إلى أي إنذار أو إخطار مسبق وإني أسقط حقي بأي دفع سواء تجاه المفوص له أو الدائن أو المظهر / المظهرين و/أو الكفيل وأية خيارات قانونية أخرى كما و أسقط حقي  بالإدعاء و/أو بأي دفع شكلي و/أو موضوعي حول ما جاء في هذ التفويض والأمور الناشئة عنه.</v>
      </c>
      <c r="B7" s="1546"/>
      <c r="C7" s="1546"/>
      <c r="D7" s="1669"/>
      <c r="E7" s="1668"/>
      <c r="F7" s="1546"/>
      <c r="G7" s="1546"/>
      <c r="H7" s="1669"/>
      <c r="I7" s="612" t="s">
        <v>1704</v>
      </c>
    </row>
    <row r="8" spans="1:9" ht="30">
      <c r="A8" s="1668" t="s">
        <v>1708</v>
      </c>
      <c r="B8" s="1546"/>
      <c r="C8" s="1546"/>
      <c r="D8" s="1669"/>
    </row>
    <row r="9" spans="1:9" ht="30">
      <c r="A9" s="1258"/>
      <c r="B9" s="1252"/>
      <c r="C9" s="1252" t="s">
        <v>1651</v>
      </c>
      <c r="D9" s="1259"/>
    </row>
    <row r="10" spans="1:9" ht="30">
      <c r="A10" s="1258"/>
      <c r="B10" s="1252"/>
      <c r="C10" s="1252" t="s">
        <v>1652</v>
      </c>
      <c r="D10" s="1259"/>
    </row>
    <row r="11" spans="1:9" ht="30" customHeight="1">
      <c r="A11" s="828"/>
      <c r="B11" s="829"/>
      <c r="C11" s="829"/>
      <c r="D11" s="830"/>
    </row>
    <row r="12" spans="1:9" ht="30">
      <c r="A12" s="1672" t="s">
        <v>796</v>
      </c>
      <c r="B12" s="1673"/>
      <c r="C12" s="1673"/>
      <c r="D12" s="1674"/>
    </row>
    <row r="13" spans="1:9" ht="30">
      <c r="A13" s="1670" t="s">
        <v>1450</v>
      </c>
      <c r="B13" s="1590"/>
      <c r="C13" s="1590"/>
      <c r="D13" s="1671"/>
    </row>
    <row r="14" spans="1:9" ht="30">
      <c r="A14" s="1213" t="s">
        <v>1646</v>
      </c>
      <c r="B14" s="1253"/>
      <c r="C14" s="1253"/>
      <c r="D14" s="1254"/>
    </row>
    <row r="15" spans="1:9" ht="60">
      <c r="A15" s="1258" t="str">
        <f>" الاسم: " &amp;'مدخلات العقود'!$B$2</f>
        <v xml:space="preserve"> الاسم: 0</v>
      </c>
      <c r="B15" s="1252" t="str">
        <f>"رقم الهوية: " &amp;'مدخلات العقود'!$D$2</f>
        <v>رقم الهوية: 0</v>
      </c>
      <c r="C15" s="1252" t="str">
        <f>"رقم الهاتف:  "&amp; 'مدخلات العقود'!$L$2</f>
        <v>رقم الهاتف:  0</v>
      </c>
      <c r="D15" s="830" t="s">
        <v>1647</v>
      </c>
    </row>
    <row r="16" spans="1:9" ht="30">
      <c r="A16" s="1665" t="s">
        <v>1709</v>
      </c>
      <c r="B16" s="1666"/>
      <c r="C16" s="1666"/>
      <c r="D16" s="1667"/>
    </row>
    <row r="17" spans="1:8" ht="30">
      <c r="A17" s="1665" t="s">
        <v>1645</v>
      </c>
      <c r="B17" s="1666"/>
      <c r="C17" s="1666"/>
      <c r="D17" s="1667"/>
    </row>
    <row r="18" spans="1:8" ht="30">
      <c r="A18" s="1255"/>
      <c r="B18" s="1256"/>
      <c r="C18" s="1256"/>
      <c r="D18" s="1257"/>
    </row>
    <row r="19" spans="1:8" ht="180" customHeight="1">
      <c r="A19" s="1668" t="s">
        <v>1653</v>
      </c>
      <c r="B19" s="1546"/>
      <c r="C19" s="1546"/>
      <c r="D19" s="1669"/>
      <c r="E19" s="1668" t="str">
        <f>"أتعهد انا /نحن المذكورة اسمي /اسمائنا بموجب هذه الكمبيالة بأن ادفع / ندفع مبلغ وقدره "&amp;'مدخلات العقود'!$B$16&amp;" لأمر السادة شركة الاجارة الفلسطينية المساهمة الخصوصية المحدودة وإذا لم يتم الدفع في موعد الاستحقاق المذكور أعلاه تعتبر جميع الكمبيالات الموقعة منا"&amp;" والتي لم تستحق بعد مستحقة الاداء فورا ودون الحاجة إلى أي انذار أو اخطار مسبق "&amp;"وانني / اننا أسقط حقي / حقنا بطلب توجيه الاحتجاج لعدم الدفع في ميعاد الاستحقاق وما بعده سواء تجاه الدائن أو المظهر / "&amp;"المظهرين و/أو الكفيل وأية خيارات قانونية أخرى كما  أسقط / نسقط حقي / حقنا بالادعاء بيمين كذب الاقرار و/أو الدفع بعدم القبول و/أو الوفاء و/ او أي دفع شكلي و/أو موضوعي حول ما جاء في هذه الكمبيالة / السند والامور الناشئة عنه."</f>
        <v>أتعهد انا /نحن المذكورة اسمي /اسمائنا بموجب هذه الكمبيالة بأن ادفع / ندفع مبلغ وقدره 9,600 دولار لأمر السادة شركة الاجارة الفلسطينية المساهمة الخصوصية المحدودة وإذا لم يتم الدفع في موعد الاستحقاق المذكور أعلاه تعتبر جميع الكمبيالات الموقعة منا والتي لم تستحق بعد مستحقة الاداء فورا ودون الحاجة إلى أي انذار أو اخطار مسبق وانني / اننا أسقط حقي / حقنا بطلب توجيه الاحتجاج لعدم الدفع في ميعاد الاستحقاق وما بعده سواء تجاه الدائن أو المظهر / المظهرين و/أو الكفيل وأية خيارات قانونية أخرى كما  أسقط / نسقط حقي / حقنا بالادعاء بيمين كذب الاقرار و/أو الدفع بعدم القبول و/أو الوفاء و/ او أي دفع شكلي و/أو موضوعي حول ما جاء في هذه الكمبيالة / السند والامور الناشئة عنه.</v>
      </c>
      <c r="F19" s="1546"/>
      <c r="G19" s="1546"/>
      <c r="H19" s="1669"/>
    </row>
    <row r="20" spans="1:8" ht="30">
      <c r="A20" s="1668" t="s">
        <v>1710</v>
      </c>
      <c r="B20" s="1546"/>
      <c r="C20" s="1546"/>
      <c r="D20" s="1669"/>
    </row>
    <row r="21" spans="1:8" ht="30" customHeight="1">
      <c r="A21" s="828"/>
      <c r="B21" s="829"/>
      <c r="C21" s="829" t="s">
        <v>1648</v>
      </c>
      <c r="D21" s="830"/>
      <c r="E21" s="612">
        <f>'جدول السداد'!O35</f>
        <v>9600</v>
      </c>
    </row>
    <row r="22" spans="1:8" ht="36.6" customHeight="1">
      <c r="A22" s="1668" t="s">
        <v>797</v>
      </c>
      <c r="B22" s="1546"/>
      <c r="C22" s="1546"/>
      <c r="D22" s="1669"/>
    </row>
    <row r="23" spans="1:8" ht="37.9" customHeight="1">
      <c r="A23" s="1662" t="str">
        <f>'مدخلات العقود'!$B$4&amp;" حامل هوية رقم: "&amp;'مدخلات العقود'!$D$4&amp;" ___________________________"</f>
        <v>لا يوجد حامل هوية رقم: لا يوجد ___________________________</v>
      </c>
      <c r="B23" s="1663"/>
      <c r="C23" s="1663"/>
      <c r="D23" s="1664"/>
    </row>
    <row r="24" spans="1:8" ht="37.9" customHeight="1">
      <c r="A24" s="1662" t="str">
        <f>'مدخلات العقود'!$B$5&amp;" حامل هوية رقم: "&amp;'مدخلات العقود'!$D$5&amp;" ___________________________"</f>
        <v>لا يوجد حامل هوية رقم: لا يوجد ___________________________</v>
      </c>
      <c r="B24" s="1663"/>
      <c r="C24" s="1663"/>
      <c r="D24" s="1664"/>
    </row>
    <row r="25" spans="1:8" ht="37.9" customHeight="1">
      <c r="A25" s="1662" t="str">
        <f>'مدخلات العقود'!$B$6&amp;" حامل هوية رقم: "&amp;'مدخلات العقود'!$D$6&amp;" ___________________________"</f>
        <v>لا يوجد حامل هوية رقم: لا يوجد ___________________________</v>
      </c>
      <c r="B25" s="1663"/>
      <c r="C25" s="1663"/>
      <c r="D25" s="1664"/>
    </row>
    <row r="26" spans="1:8" ht="37.9" customHeight="1">
      <c r="A26" s="1662" t="str">
        <f>'مدخلات العقود'!$B$7&amp;" حامل هوية رقم: "&amp;'مدخلات العقود'!$D$7&amp;" ___________________________"</f>
        <v>لا يوجد حامل هوية رقم: لا يوجد ___________________________</v>
      </c>
      <c r="B26" s="1663"/>
      <c r="C26" s="1663"/>
      <c r="D26" s="1664"/>
    </row>
    <row r="27" spans="1:8" ht="28.9" customHeight="1">
      <c r="A27" s="1260"/>
      <c r="B27" s="1261"/>
      <c r="C27" s="1261"/>
      <c r="D27" s="1262"/>
    </row>
    <row r="28" spans="1:8" ht="30">
      <c r="A28" s="1672" t="s">
        <v>796</v>
      </c>
      <c r="B28" s="1673"/>
      <c r="C28" s="1673"/>
      <c r="D28" s="1674"/>
    </row>
    <row r="29" spans="1:8" ht="30">
      <c r="A29" s="1670" t="s">
        <v>1451</v>
      </c>
      <c r="B29" s="1590"/>
      <c r="C29" s="1590"/>
      <c r="D29" s="1671"/>
    </row>
    <row r="30" spans="1:8" ht="30">
      <c r="A30" s="1213" t="s">
        <v>1646</v>
      </c>
      <c r="B30" s="1253"/>
      <c r="C30" s="1253"/>
      <c r="D30" s="1254"/>
    </row>
    <row r="31" spans="1:8" ht="60">
      <c r="A31" s="1258" t="str">
        <f>" الاسم: " &amp;'مدخلات العقود'!$B$2</f>
        <v xml:space="preserve"> الاسم: 0</v>
      </c>
      <c r="B31" s="1252" t="str">
        <f>"رقم الهوية: " &amp;'مدخلات العقود'!$D$2</f>
        <v>رقم الهوية: 0</v>
      </c>
      <c r="C31" s="1252" t="str">
        <f>"رقم الهاتف:  "&amp; 'مدخلات العقود'!$L$2</f>
        <v>رقم الهاتف:  0</v>
      </c>
      <c r="D31" s="830" t="s">
        <v>1647</v>
      </c>
    </row>
    <row r="32" spans="1:8" ht="30.6" customHeight="1">
      <c r="A32" s="1665" t="s">
        <v>1709</v>
      </c>
      <c r="B32" s="1666"/>
      <c r="C32" s="1666"/>
      <c r="D32" s="1667"/>
    </row>
    <row r="33" spans="1:4" ht="30">
      <c r="A33" s="1665" t="s">
        <v>1645</v>
      </c>
      <c r="B33" s="1666"/>
      <c r="C33" s="1666"/>
      <c r="D33" s="1667"/>
    </row>
    <row r="34" spans="1:4" ht="30">
      <c r="A34" s="1255"/>
      <c r="B34" s="1256"/>
      <c r="C34" s="1256"/>
      <c r="D34" s="1257"/>
    </row>
    <row r="35" spans="1:4" ht="180" customHeight="1">
      <c r="A35" s="1668" t="s">
        <v>1707</v>
      </c>
      <c r="B35" s="1546"/>
      <c r="C35" s="1546"/>
      <c r="D35" s="1669"/>
    </row>
    <row r="36" spans="1:4" ht="30">
      <c r="A36" s="1668" t="s">
        <v>1710</v>
      </c>
      <c r="B36" s="1546"/>
      <c r="C36" s="1546"/>
      <c r="D36" s="1669"/>
    </row>
    <row r="37" spans="1:4" ht="30">
      <c r="A37" s="828"/>
      <c r="B37" s="829"/>
      <c r="C37" s="829" t="s">
        <v>1648</v>
      </c>
      <c r="D37" s="830"/>
    </row>
    <row r="38" spans="1:4" ht="30">
      <c r="A38" s="1668" t="s">
        <v>797</v>
      </c>
      <c r="B38" s="1546"/>
      <c r="C38" s="1546"/>
      <c r="D38" s="1669"/>
    </row>
    <row r="39" spans="1:4" ht="30">
      <c r="A39" s="1662" t="str">
        <f>'مدخلات العقود'!$B$4&amp;" حامل هوية رقم: "&amp;'مدخلات العقود'!$D$4&amp;" ___________________________"</f>
        <v>لا يوجد حامل هوية رقم: لا يوجد ___________________________</v>
      </c>
      <c r="B39" s="1663"/>
      <c r="C39" s="1663"/>
      <c r="D39" s="1664"/>
    </row>
    <row r="40" spans="1:4" ht="30">
      <c r="A40" s="1662" t="str">
        <f>'مدخلات العقود'!$B$5&amp;" حامل هوية رقم: "&amp;'مدخلات العقود'!$D$5&amp;" ___________________________"</f>
        <v>لا يوجد حامل هوية رقم: لا يوجد ___________________________</v>
      </c>
      <c r="B40" s="1663"/>
      <c r="C40" s="1663"/>
      <c r="D40" s="1664"/>
    </row>
    <row r="41" spans="1:4" ht="30">
      <c r="A41" s="1662" t="str">
        <f>'مدخلات العقود'!$B$6&amp;" حامل هوية رقم: "&amp;'مدخلات العقود'!$D$6&amp;" ___________________________"</f>
        <v>لا يوجد حامل هوية رقم: لا يوجد ___________________________</v>
      </c>
      <c r="B41" s="1663"/>
      <c r="C41" s="1663"/>
      <c r="D41" s="1664"/>
    </row>
    <row r="42" spans="1:4" ht="30">
      <c r="A42" s="1662" t="str">
        <f>'مدخلات العقود'!$B$7&amp;" حامل هوية رقم: "&amp;'مدخلات العقود'!$D$7&amp;" ___________________________"</f>
        <v>لا يوجد حامل هوية رقم: لا يوجد ___________________________</v>
      </c>
      <c r="B42" s="1663"/>
      <c r="C42" s="1663"/>
      <c r="D42" s="1664"/>
    </row>
    <row r="43" spans="1:4" ht="30">
      <c r="A43" s="1260"/>
      <c r="B43" s="1261"/>
      <c r="C43" s="1261"/>
      <c r="D43" s="1262"/>
    </row>
    <row r="44" spans="1:4" ht="30">
      <c r="A44" s="1672" t="s">
        <v>796</v>
      </c>
      <c r="B44" s="1673"/>
      <c r="C44" s="1673"/>
      <c r="D44" s="1674"/>
    </row>
    <row r="45" spans="1:4" ht="30">
      <c r="A45" s="1670" t="s">
        <v>1452</v>
      </c>
      <c r="B45" s="1590"/>
      <c r="C45" s="1590"/>
      <c r="D45" s="1671"/>
    </row>
    <row r="46" spans="1:4" ht="30">
      <c r="A46" s="1213" t="s">
        <v>1646</v>
      </c>
      <c r="B46" s="1253"/>
      <c r="C46" s="1253"/>
      <c r="D46" s="1254"/>
    </row>
    <row r="47" spans="1:4" ht="60">
      <c r="A47" s="1258" t="str">
        <f>" الاسم: " &amp;'مدخلات العقود'!$B$2</f>
        <v xml:space="preserve"> الاسم: 0</v>
      </c>
      <c r="B47" s="1252" t="str">
        <f>"رقم الهوية: " &amp;'مدخلات العقود'!$D$2</f>
        <v>رقم الهوية: 0</v>
      </c>
      <c r="C47" s="1252" t="str">
        <f>"رقم الهاتف:  "&amp; 'مدخلات العقود'!$L$2</f>
        <v>رقم الهاتف:  0</v>
      </c>
      <c r="D47" s="830" t="s">
        <v>1647</v>
      </c>
    </row>
    <row r="48" spans="1:4" ht="30.6" customHeight="1">
      <c r="A48" s="1665" t="s">
        <v>1709</v>
      </c>
      <c r="B48" s="1666"/>
      <c r="C48" s="1666"/>
      <c r="D48" s="1667"/>
    </row>
    <row r="49" spans="1:4" ht="30.6" customHeight="1">
      <c r="A49" s="1665" t="s">
        <v>1645</v>
      </c>
      <c r="B49" s="1666"/>
      <c r="C49" s="1666"/>
      <c r="D49" s="1667"/>
    </row>
    <row r="50" spans="1:4" ht="30">
      <c r="A50" s="1255"/>
      <c r="B50" s="1256"/>
      <c r="C50" s="1256"/>
      <c r="D50" s="1257"/>
    </row>
    <row r="51" spans="1:4" ht="172.9" customHeight="1">
      <c r="A51" s="1668" t="s">
        <v>1707</v>
      </c>
      <c r="B51" s="1546"/>
      <c r="C51" s="1546"/>
      <c r="D51" s="1669"/>
    </row>
    <row r="52" spans="1:4" ht="30">
      <c r="A52" s="1668" t="s">
        <v>1710</v>
      </c>
      <c r="B52" s="1546"/>
      <c r="C52" s="1546"/>
      <c r="D52" s="1669"/>
    </row>
    <row r="53" spans="1:4" ht="30">
      <c r="A53" s="828"/>
      <c r="B53" s="829"/>
      <c r="C53" s="829" t="s">
        <v>1648</v>
      </c>
      <c r="D53" s="830"/>
    </row>
    <row r="54" spans="1:4" ht="30">
      <c r="A54" s="1668" t="s">
        <v>797</v>
      </c>
      <c r="B54" s="1546"/>
      <c r="C54" s="1546"/>
      <c r="D54" s="1669"/>
    </row>
    <row r="55" spans="1:4" ht="30.6" customHeight="1">
      <c r="A55" s="1662" t="str">
        <f>'مدخلات العقود'!$B$4&amp;" حامل هوية رقم: "&amp;'مدخلات العقود'!$D$4&amp;" ___________________________"</f>
        <v>لا يوجد حامل هوية رقم: لا يوجد ___________________________</v>
      </c>
      <c r="B55" s="1663"/>
      <c r="C55" s="1663"/>
      <c r="D55" s="1664"/>
    </row>
    <row r="56" spans="1:4" ht="30.6" customHeight="1">
      <c r="A56" s="1662" t="str">
        <f>'مدخلات العقود'!$B$5&amp;" حامل هوية رقم: "&amp;'مدخلات العقود'!$D$5&amp;" ___________________________"</f>
        <v>لا يوجد حامل هوية رقم: لا يوجد ___________________________</v>
      </c>
      <c r="B56" s="1663"/>
      <c r="C56" s="1663"/>
      <c r="D56" s="1664"/>
    </row>
    <row r="57" spans="1:4" ht="30.6" customHeight="1">
      <c r="A57" s="1662" t="str">
        <f>'مدخلات العقود'!$B$6&amp;" حامل هوية رقم: "&amp;'مدخلات العقود'!$D$6&amp;" ___________________________"</f>
        <v>لا يوجد حامل هوية رقم: لا يوجد ___________________________</v>
      </c>
      <c r="B57" s="1663"/>
      <c r="C57" s="1663"/>
      <c r="D57" s="1664"/>
    </row>
    <row r="58" spans="1:4" ht="30.6" customHeight="1">
      <c r="A58" s="1662" t="str">
        <f>'مدخلات العقود'!$B$7&amp;" حامل هوية رقم: "&amp;'مدخلات العقود'!$D$7&amp;" ___________________________"</f>
        <v>لا يوجد حامل هوية رقم: لا يوجد ___________________________</v>
      </c>
      <c r="B58" s="1663"/>
      <c r="C58" s="1663"/>
      <c r="D58" s="1664"/>
    </row>
    <row r="59" spans="1:4" ht="30">
      <c r="A59" s="1260"/>
      <c r="B59" s="1261"/>
      <c r="C59" s="1261"/>
      <c r="D59" s="1262"/>
    </row>
    <row r="60" spans="1:4" ht="30">
      <c r="A60" s="1672" t="s">
        <v>796</v>
      </c>
      <c r="B60" s="1673"/>
      <c r="C60" s="1673"/>
      <c r="D60" s="1674"/>
    </row>
    <row r="61" spans="1:4" ht="30">
      <c r="A61" s="1670" t="s">
        <v>1453</v>
      </c>
      <c r="B61" s="1590"/>
      <c r="C61" s="1590"/>
      <c r="D61" s="1671"/>
    </row>
    <row r="62" spans="1:4" ht="30">
      <c r="A62" s="1213" t="s">
        <v>1646</v>
      </c>
      <c r="B62" s="1253"/>
      <c r="C62" s="1253"/>
      <c r="D62" s="1254"/>
    </row>
    <row r="63" spans="1:4" ht="60">
      <c r="A63" s="1258" t="str">
        <f>" الاسم: " &amp;'مدخلات العقود'!$B$2</f>
        <v xml:space="preserve"> الاسم: 0</v>
      </c>
      <c r="B63" s="1252" t="str">
        <f>"رقم الهوية: " &amp;'مدخلات العقود'!$D$2</f>
        <v>رقم الهوية: 0</v>
      </c>
      <c r="C63" s="1252" t="str">
        <f>"رقم الهاتف:  "&amp; 'مدخلات العقود'!$L$2</f>
        <v>رقم الهاتف:  0</v>
      </c>
      <c r="D63" s="830" t="s">
        <v>1647</v>
      </c>
    </row>
    <row r="64" spans="1:4" ht="30.6" customHeight="1">
      <c r="A64" s="1665" t="s">
        <v>1709</v>
      </c>
      <c r="B64" s="1666"/>
      <c r="C64" s="1666"/>
      <c r="D64" s="1667"/>
    </row>
    <row r="65" spans="1:4" ht="30">
      <c r="A65" s="1665" t="s">
        <v>1645</v>
      </c>
      <c r="B65" s="1666"/>
      <c r="C65" s="1666"/>
      <c r="D65" s="1667"/>
    </row>
    <row r="66" spans="1:4" ht="30">
      <c r="A66" s="1255"/>
      <c r="B66" s="1256"/>
      <c r="C66" s="1256"/>
      <c r="D66" s="1257"/>
    </row>
    <row r="67" spans="1:4" ht="157.9" customHeight="1">
      <c r="A67" s="1668" t="s">
        <v>1707</v>
      </c>
      <c r="B67" s="1546"/>
      <c r="C67" s="1546"/>
      <c r="D67" s="1669"/>
    </row>
    <row r="68" spans="1:4" ht="30">
      <c r="A68" s="1668" t="s">
        <v>1710</v>
      </c>
      <c r="B68" s="1546"/>
      <c r="C68" s="1546"/>
      <c r="D68" s="1669"/>
    </row>
    <row r="69" spans="1:4" ht="30">
      <c r="A69" s="828"/>
      <c r="B69" s="829"/>
      <c r="C69" s="829" t="s">
        <v>1648</v>
      </c>
      <c r="D69" s="830"/>
    </row>
    <row r="70" spans="1:4" ht="30">
      <c r="A70" s="1668" t="s">
        <v>797</v>
      </c>
      <c r="B70" s="1546"/>
      <c r="C70" s="1546"/>
      <c r="D70" s="1669"/>
    </row>
    <row r="71" spans="1:4" ht="30">
      <c r="A71" s="1662" t="str">
        <f>'مدخلات العقود'!$B$4&amp;" حامل هوية رقم: "&amp;'مدخلات العقود'!$D$4&amp;" ___________________________"</f>
        <v>لا يوجد حامل هوية رقم: لا يوجد ___________________________</v>
      </c>
      <c r="B71" s="1663"/>
      <c r="C71" s="1663"/>
      <c r="D71" s="1664"/>
    </row>
    <row r="72" spans="1:4" ht="30">
      <c r="A72" s="1662" t="str">
        <f>'مدخلات العقود'!$B$5&amp;" حامل هوية رقم: "&amp;'مدخلات العقود'!$D$5&amp;" ___________________________"</f>
        <v>لا يوجد حامل هوية رقم: لا يوجد ___________________________</v>
      </c>
      <c r="B72" s="1663"/>
      <c r="C72" s="1663"/>
      <c r="D72" s="1664"/>
    </row>
    <row r="73" spans="1:4" ht="30">
      <c r="A73" s="1662" t="str">
        <f>'مدخلات العقود'!$B$6&amp;" حامل هوية رقم: "&amp;'مدخلات العقود'!$D$6&amp;" ___________________________"</f>
        <v>لا يوجد حامل هوية رقم: لا يوجد ___________________________</v>
      </c>
      <c r="B73" s="1663"/>
      <c r="C73" s="1663"/>
      <c r="D73" s="1664"/>
    </row>
    <row r="74" spans="1:4" ht="30">
      <c r="A74" s="1662" t="str">
        <f>'مدخلات العقود'!$B$7&amp;" حامل هوية رقم: "&amp;'مدخلات العقود'!$D$7&amp;" ___________________________"</f>
        <v>لا يوجد حامل هوية رقم: لا يوجد ___________________________</v>
      </c>
      <c r="B74" s="1663"/>
      <c r="C74" s="1663"/>
      <c r="D74" s="1664"/>
    </row>
    <row r="75" spans="1:4" ht="30">
      <c r="A75" s="1260"/>
      <c r="B75" s="1261"/>
      <c r="C75" s="1261"/>
      <c r="D75" s="1262"/>
    </row>
  </sheetData>
  <mergeCells count="53">
    <mergeCell ref="A1:D1"/>
    <mergeCell ref="A2:D2"/>
    <mergeCell ref="A7:D7"/>
    <mergeCell ref="A4:D4"/>
    <mergeCell ref="A60:D60"/>
    <mergeCell ref="A44:D44"/>
    <mergeCell ref="A32:D32"/>
    <mergeCell ref="A35:D35"/>
    <mergeCell ref="A36:D36"/>
    <mergeCell ref="A38:D38"/>
    <mergeCell ref="A39:D39"/>
    <mergeCell ref="A42:D42"/>
    <mergeCell ref="A24:D24"/>
    <mergeCell ref="A25:D25"/>
    <mergeCell ref="A26:D26"/>
    <mergeCell ref="A12:D12"/>
    <mergeCell ref="E4:H4"/>
    <mergeCell ref="A5:D5"/>
    <mergeCell ref="E7:H7"/>
    <mergeCell ref="A8:D8"/>
    <mergeCell ref="A54:D54"/>
    <mergeCell ref="A45:D45"/>
    <mergeCell ref="A48:D48"/>
    <mergeCell ref="A49:D49"/>
    <mergeCell ref="A51:D51"/>
    <mergeCell ref="A52:D52"/>
    <mergeCell ref="E19:H19"/>
    <mergeCell ref="A20:D20"/>
    <mergeCell ref="A19:D19"/>
    <mergeCell ref="A22:D22"/>
    <mergeCell ref="A23:D23"/>
    <mergeCell ref="A13:D13"/>
    <mergeCell ref="A16:D16"/>
    <mergeCell ref="A17:D17"/>
    <mergeCell ref="A28:D28"/>
    <mergeCell ref="A29:D29"/>
    <mergeCell ref="A33:D33"/>
    <mergeCell ref="A40:D40"/>
    <mergeCell ref="A41:D41"/>
    <mergeCell ref="A72:D72"/>
    <mergeCell ref="A73:D73"/>
    <mergeCell ref="A61:D61"/>
    <mergeCell ref="A64:D64"/>
    <mergeCell ref="A55:D55"/>
    <mergeCell ref="A56:D56"/>
    <mergeCell ref="A57:D57"/>
    <mergeCell ref="A58:D58"/>
    <mergeCell ref="A74:D74"/>
    <mergeCell ref="A65:D65"/>
    <mergeCell ref="A67:D67"/>
    <mergeCell ref="A68:D68"/>
    <mergeCell ref="A70:D70"/>
    <mergeCell ref="A71:D71"/>
  </mergeCells>
  <pageMargins left="0.7" right="0.7" top="0.75" bottom="0.75" header="0.3" footer="0.3"/>
  <pageSetup scale="60" fitToWidth="50" fitToHeight="50" orientation="portrait" r:id="rId1"/>
  <rowBreaks count="1" manualBreakCount="1">
    <brk id="27" max="3" man="1"/>
  </rowBreaks>
  <colBreaks count="1" manualBreakCount="1">
    <brk id="4" max="1048575"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3"/>
  <dimension ref="A1:E158"/>
  <sheetViews>
    <sheetView showGridLines="0" rightToLeft="1" view="pageBreakPreview" zoomScale="85" zoomScaleNormal="115" zoomScaleSheetLayoutView="85" workbookViewId="0">
      <selection activeCell="H5" sqref="H5"/>
    </sheetView>
  </sheetViews>
  <sheetFormatPr defaultColWidth="9.140625" defaultRowHeight="15"/>
  <cols>
    <col min="1" max="1" width="39.7109375" style="612" customWidth="1"/>
    <col min="2" max="2" width="30.140625" style="612" bestFit="1" customWidth="1"/>
    <col min="3" max="3" width="39.7109375" style="612" customWidth="1"/>
    <col min="4" max="4" width="32" style="612" bestFit="1" customWidth="1"/>
    <col min="5" max="16384" width="9.140625" style="612"/>
  </cols>
  <sheetData>
    <row r="1" spans="1:4" ht="35.25">
      <c r="A1" s="1574" t="s">
        <v>798</v>
      </c>
      <c r="B1" s="1574"/>
      <c r="C1" s="1574"/>
      <c r="D1" s="1574"/>
    </row>
    <row r="2" spans="1:4" ht="18.75">
      <c r="A2" s="1682" t="str">
        <f>"التاريخ "&amp;TEXT('مدخلات العقود'!$J$15,"dd/mm/yyyy")</f>
        <v>التاريخ 00/01/1900</v>
      </c>
      <c r="B2" s="1682"/>
      <c r="C2" s="1682"/>
      <c r="D2" s="1682"/>
    </row>
    <row r="3" spans="1:4" ht="18.75">
      <c r="A3" s="1651" t="s">
        <v>972</v>
      </c>
      <c r="B3" s="1651"/>
      <c r="C3" s="1651"/>
      <c r="D3" s="1651"/>
    </row>
    <row r="4" spans="1:4" ht="60" customHeight="1">
      <c r="A4" s="1683" t="str">
        <f>"البند 1- الفريق الأول (المورد للعين): "&amp;'مدخلات العقود'!$B$9&amp; " ورقم تسجيل/ حامل هوية رقم "&amp; 'مدخلات العقود'!$D$9&amp;"، الصادرة في "&amp;'مدخلات العقود'!$F$9&amp;"، بتاريخ "&amp;TEXT('مدخلات العقود'!$H$9,"dd/mm/yyyy")&amp;"، وعنوانه لغايات التبليغ "&amp;'مدخلات العقود'!$J$9&amp;"، ورقم هاتفه "&amp;'مدخلات العقود'!$L$9</f>
        <v>البند 1- الفريق الأول (المورد للعين): 0 ورقم تسجيل/ حامل هوية رقم 0، الصادرة في ، بتاريخ 00/01/1900، وعنوانه لغايات التبليغ رام الله، ورقم هاتفه 0</v>
      </c>
      <c r="B4" s="1683"/>
      <c r="C4" s="1683"/>
      <c r="D4" s="1683"/>
    </row>
    <row r="5" spans="1:4" ht="168.95" customHeight="1">
      <c r="A5" s="1647" t="s">
        <v>1528</v>
      </c>
      <c r="B5" s="1647"/>
      <c r="C5" s="1647"/>
      <c r="D5" s="1647"/>
    </row>
    <row r="6" spans="1:4" ht="18.75">
      <c r="A6" s="1651" t="s">
        <v>973</v>
      </c>
      <c r="B6" s="1651"/>
      <c r="C6" s="1651"/>
      <c r="D6" s="1651"/>
    </row>
    <row r="7" spans="1:4" ht="18.75">
      <c r="A7" s="1651" t="s">
        <v>799</v>
      </c>
      <c r="B7" s="1651"/>
      <c r="C7" s="1651"/>
      <c r="D7" s="1651"/>
    </row>
    <row r="8" spans="1:4" ht="237" customHeight="1">
      <c r="A8" s="1651" t="s">
        <v>974</v>
      </c>
      <c r="B8" s="1651"/>
      <c r="C8" s="1651"/>
      <c r="D8" s="1651"/>
    </row>
    <row r="9" spans="1:4" ht="18.75">
      <c r="A9" s="1647" t="s">
        <v>800</v>
      </c>
      <c r="B9" s="1651"/>
      <c r="C9" s="1651"/>
      <c r="D9" s="1651"/>
    </row>
    <row r="10" spans="1:4" ht="126" customHeight="1">
      <c r="A10" s="1651" t="s">
        <v>1169</v>
      </c>
      <c r="B10" s="1651"/>
      <c r="C10" s="1651"/>
      <c r="D10" s="1651"/>
    </row>
    <row r="11" spans="1:4" ht="18.75">
      <c r="A11" s="1681" t="s">
        <v>1170</v>
      </c>
      <c r="B11" s="1681"/>
      <c r="C11" s="1681"/>
      <c r="D11" s="1681"/>
    </row>
    <row r="12" spans="1:4" ht="18.75">
      <c r="A12" s="1681" t="s">
        <v>801</v>
      </c>
      <c r="B12" s="1651"/>
      <c r="C12" s="1651"/>
      <c r="D12" s="1651"/>
    </row>
    <row r="13" spans="1:4" ht="38.1" customHeight="1">
      <c r="A13" s="1681" t="s">
        <v>1221</v>
      </c>
      <c r="B13" s="1651"/>
      <c r="C13" s="1651"/>
      <c r="D13" s="1651"/>
    </row>
    <row r="14" spans="1:4" ht="38.1" customHeight="1">
      <c r="A14" s="1681" t="s">
        <v>802</v>
      </c>
      <c r="B14" s="1651"/>
      <c r="C14" s="1651"/>
      <c r="D14" s="1651"/>
    </row>
    <row r="15" spans="1:4" ht="75" customHeight="1">
      <c r="A15" s="1651" t="s">
        <v>1172</v>
      </c>
      <c r="B15" s="1651"/>
      <c r="C15" s="1651"/>
      <c r="D15" s="1651"/>
    </row>
    <row r="16" spans="1:4" ht="57" customHeight="1">
      <c r="A16" s="1651" t="s">
        <v>803</v>
      </c>
      <c r="B16" s="1651"/>
      <c r="C16" s="1651"/>
      <c r="D16" s="1651"/>
    </row>
    <row r="17" spans="1:4" ht="75" customHeight="1">
      <c r="A17" s="1651" t="s">
        <v>804</v>
      </c>
      <c r="B17" s="1651"/>
      <c r="C17" s="1651"/>
      <c r="D17" s="1651"/>
    </row>
    <row r="18" spans="1:4" ht="38.1" customHeight="1">
      <c r="A18" s="1651" t="s">
        <v>805</v>
      </c>
      <c r="B18" s="1651"/>
      <c r="C18" s="1651"/>
      <c r="D18" s="1651"/>
    </row>
    <row r="19" spans="1:4" ht="57" customHeight="1">
      <c r="A19" s="1651" t="s">
        <v>806</v>
      </c>
      <c r="B19" s="1651"/>
      <c r="C19" s="1651"/>
      <c r="D19" s="1651"/>
    </row>
    <row r="20" spans="1:4" ht="38.1" customHeight="1">
      <c r="A20" s="1651" t="s">
        <v>1173</v>
      </c>
      <c r="B20" s="1651"/>
      <c r="C20" s="1651"/>
      <c r="D20" s="1651"/>
    </row>
    <row r="21" spans="1:4" ht="113.1" customHeight="1">
      <c r="A21" s="1651" t="s">
        <v>1183</v>
      </c>
      <c r="B21" s="1651"/>
      <c r="C21" s="1651"/>
      <c r="D21" s="1651"/>
    </row>
    <row r="22" spans="1:4" ht="38.1" customHeight="1">
      <c r="A22" s="1651" t="s">
        <v>807</v>
      </c>
      <c r="B22" s="1651"/>
      <c r="C22" s="1651"/>
      <c r="D22" s="1651"/>
    </row>
    <row r="23" spans="1:4" ht="57" customHeight="1">
      <c r="A23" s="1651" t="s">
        <v>808</v>
      </c>
      <c r="B23" s="1651"/>
      <c r="C23" s="1651"/>
      <c r="D23" s="1651"/>
    </row>
    <row r="24" spans="1:4" ht="93.95" customHeight="1">
      <c r="A24" s="1651" t="s">
        <v>1174</v>
      </c>
      <c r="B24" s="1651"/>
      <c r="C24" s="1651"/>
      <c r="D24" s="1651"/>
    </row>
    <row r="25" spans="1:4" ht="18.75">
      <c r="A25" s="1651" t="s">
        <v>809</v>
      </c>
      <c r="B25" s="1651"/>
      <c r="C25" s="1651"/>
      <c r="D25" s="1651"/>
    </row>
    <row r="26" spans="1:4" ht="38.1" customHeight="1">
      <c r="A26" s="1651" t="s">
        <v>810</v>
      </c>
      <c r="B26" s="1651"/>
      <c r="C26" s="1651"/>
      <c r="D26" s="1651"/>
    </row>
    <row r="27" spans="1:4" ht="57" customHeight="1">
      <c r="A27" s="1681" t="s">
        <v>1175</v>
      </c>
      <c r="B27" s="1651"/>
      <c r="C27" s="1651"/>
      <c r="D27" s="1651"/>
    </row>
    <row r="28" spans="1:4" ht="18.75">
      <c r="A28" s="1647" t="s">
        <v>811</v>
      </c>
      <c r="B28" s="1647"/>
      <c r="C28" s="1647"/>
      <c r="D28" s="1647"/>
    </row>
    <row r="29" spans="1:4" ht="38.1" customHeight="1">
      <c r="A29" s="1651" t="s">
        <v>1176</v>
      </c>
      <c r="B29" s="1651"/>
      <c r="C29" s="1651"/>
      <c r="D29" s="1651"/>
    </row>
    <row r="30" spans="1:4" ht="18.75">
      <c r="A30" s="1651" t="s">
        <v>812</v>
      </c>
      <c r="B30" s="1651"/>
      <c r="C30" s="1651"/>
      <c r="D30" s="1651"/>
    </row>
    <row r="31" spans="1:4" ht="38.1" customHeight="1">
      <c r="A31" s="1651" t="s">
        <v>813</v>
      </c>
      <c r="B31" s="1651"/>
      <c r="C31" s="1651"/>
      <c r="D31" s="1651"/>
    </row>
    <row r="32" spans="1:4" ht="18.75">
      <c r="A32" s="1651" t="s">
        <v>814</v>
      </c>
      <c r="B32" s="1651"/>
      <c r="C32" s="1651"/>
      <c r="D32" s="1651"/>
    </row>
    <row r="33" spans="1:4" ht="38.1" customHeight="1">
      <c r="A33" s="1651" t="s">
        <v>815</v>
      </c>
      <c r="B33" s="1651"/>
      <c r="C33" s="1651"/>
      <c r="D33" s="1651"/>
    </row>
    <row r="34" spans="1:4" ht="18.75">
      <c r="A34" s="1647" t="s">
        <v>816</v>
      </c>
      <c r="B34" s="1651"/>
      <c r="C34" s="1651"/>
      <c r="D34" s="1651"/>
    </row>
    <row r="35" spans="1:4" ht="57" customHeight="1">
      <c r="A35" s="1651" t="s">
        <v>817</v>
      </c>
      <c r="B35" s="1651"/>
      <c r="C35" s="1651"/>
      <c r="D35" s="1651"/>
    </row>
    <row r="36" spans="1:4" ht="57" customHeight="1">
      <c r="A36" s="1651" t="s">
        <v>818</v>
      </c>
      <c r="B36" s="1651"/>
      <c r="C36" s="1651"/>
      <c r="D36" s="1651"/>
    </row>
    <row r="37" spans="1:4" ht="18.75">
      <c r="A37" s="1651" t="s">
        <v>819</v>
      </c>
      <c r="B37" s="1651"/>
      <c r="C37" s="1651"/>
      <c r="D37" s="1651"/>
    </row>
    <row r="38" spans="1:4" ht="112.5" customHeight="1">
      <c r="A38" s="1651" t="s">
        <v>1184</v>
      </c>
      <c r="B38" s="1651"/>
      <c r="C38" s="1651"/>
      <c r="D38" s="1651"/>
    </row>
    <row r="39" spans="1:4" ht="38.1" customHeight="1">
      <c r="A39" s="1651" t="s">
        <v>1168</v>
      </c>
      <c r="B39" s="1651"/>
      <c r="C39" s="1651"/>
      <c r="D39" s="1651"/>
    </row>
    <row r="40" spans="1:4" ht="38.1" customHeight="1">
      <c r="A40" s="1681" t="s">
        <v>820</v>
      </c>
      <c r="B40" s="1651"/>
      <c r="C40" s="1651"/>
      <c r="D40" s="1651"/>
    </row>
    <row r="41" spans="1:4" ht="18.75">
      <c r="A41" s="1651" t="s">
        <v>1177</v>
      </c>
      <c r="B41" s="1651"/>
      <c r="C41" s="1651"/>
      <c r="D41" s="1651"/>
    </row>
    <row r="42" spans="1:4" ht="38.1" customHeight="1">
      <c r="A42" s="1651" t="s">
        <v>821</v>
      </c>
      <c r="B42" s="1651"/>
      <c r="C42" s="1651"/>
      <c r="D42" s="1651"/>
    </row>
    <row r="43" spans="1:4" ht="57" customHeight="1">
      <c r="A43" s="1651" t="s">
        <v>822</v>
      </c>
      <c r="B43" s="1651"/>
      <c r="C43" s="1651"/>
      <c r="D43" s="1651"/>
    </row>
    <row r="44" spans="1:4" ht="18.75">
      <c r="A44" s="1651" t="s">
        <v>1178</v>
      </c>
      <c r="B44" s="1651"/>
      <c r="C44" s="1651"/>
      <c r="D44" s="1651"/>
    </row>
    <row r="45" spans="1:4" ht="18.75">
      <c r="A45" s="1651" t="s">
        <v>823</v>
      </c>
      <c r="B45" s="1651"/>
      <c r="C45" s="1651"/>
      <c r="D45" s="1651"/>
    </row>
    <row r="46" spans="1:4" ht="38.1" customHeight="1">
      <c r="A46" s="1651" t="s">
        <v>824</v>
      </c>
      <c r="B46" s="1651"/>
      <c r="C46" s="1651"/>
      <c r="D46" s="1651"/>
    </row>
    <row r="47" spans="1:4" ht="18.75">
      <c r="A47" s="1651" t="s">
        <v>825</v>
      </c>
      <c r="B47" s="1651"/>
      <c r="C47" s="1651"/>
      <c r="D47" s="1651"/>
    </row>
    <row r="48" spans="1:4" ht="93.95" customHeight="1">
      <c r="A48" s="1651" t="s">
        <v>826</v>
      </c>
      <c r="B48" s="1651"/>
      <c r="C48" s="1651"/>
      <c r="D48" s="1651"/>
    </row>
    <row r="49" spans="1:4" ht="38.1" customHeight="1">
      <c r="A49" s="1651" t="s">
        <v>827</v>
      </c>
      <c r="B49" s="1651"/>
      <c r="C49" s="1651"/>
      <c r="D49" s="1651"/>
    </row>
    <row r="50" spans="1:4" ht="38.1" customHeight="1">
      <c r="A50" s="1651" t="s">
        <v>828</v>
      </c>
      <c r="B50" s="1651"/>
      <c r="C50" s="1651"/>
      <c r="D50" s="1651"/>
    </row>
    <row r="51" spans="1:4" ht="18.75">
      <c r="A51" s="1647" t="s">
        <v>829</v>
      </c>
      <c r="B51" s="1651"/>
      <c r="C51" s="1651"/>
      <c r="D51" s="1651"/>
    </row>
    <row r="52" spans="1:4" ht="168.95" customHeight="1">
      <c r="A52" s="1651" t="s">
        <v>830</v>
      </c>
      <c r="B52" s="1651"/>
      <c r="C52" s="1651"/>
      <c r="D52" s="1651"/>
    </row>
    <row r="53" spans="1:4" ht="18.75">
      <c r="A53" s="1651" t="s">
        <v>1179</v>
      </c>
      <c r="B53" s="1651"/>
      <c r="C53" s="1651"/>
      <c r="D53" s="1651"/>
    </row>
    <row r="54" spans="1:4" ht="75" customHeight="1">
      <c r="A54" s="1651" t="s">
        <v>831</v>
      </c>
      <c r="B54" s="1651"/>
      <c r="C54" s="1651"/>
      <c r="D54" s="1651"/>
    </row>
    <row r="55" spans="1:4" ht="18.75">
      <c r="A55" s="1647" t="s">
        <v>832</v>
      </c>
      <c r="B55" s="1651"/>
      <c r="C55" s="1651"/>
      <c r="D55" s="1651"/>
    </row>
    <row r="56" spans="1:4" ht="93.95" customHeight="1">
      <c r="A56" s="1651" t="s">
        <v>833</v>
      </c>
      <c r="B56" s="1651"/>
      <c r="C56" s="1651"/>
      <c r="D56" s="1651"/>
    </row>
    <row r="57" spans="1:4" ht="18.75">
      <c r="A57" s="1647" t="s">
        <v>834</v>
      </c>
      <c r="B57" s="1651"/>
      <c r="C57" s="1651"/>
      <c r="D57" s="1651"/>
    </row>
    <row r="58" spans="1:4" ht="75" customHeight="1">
      <c r="A58" s="1651" t="s">
        <v>835</v>
      </c>
      <c r="B58" s="1651"/>
      <c r="C58" s="1651"/>
      <c r="D58" s="1651"/>
    </row>
    <row r="59" spans="1:4" ht="18.75">
      <c r="A59" s="1647" t="s">
        <v>836</v>
      </c>
      <c r="B59" s="1651"/>
      <c r="C59" s="1651"/>
      <c r="D59" s="1651"/>
    </row>
    <row r="60" spans="1:4" ht="113.1" customHeight="1">
      <c r="A60" s="1651" t="s">
        <v>837</v>
      </c>
      <c r="B60" s="1651"/>
      <c r="C60" s="1651"/>
      <c r="D60" s="1651"/>
    </row>
    <row r="61" spans="1:4" ht="93.95" customHeight="1">
      <c r="A61" s="1651" t="s">
        <v>838</v>
      </c>
      <c r="B61" s="1651"/>
      <c r="C61" s="1651"/>
      <c r="D61" s="1651"/>
    </row>
    <row r="62" spans="1:4" ht="18.75">
      <c r="A62" s="805"/>
      <c r="B62" s="833"/>
      <c r="C62" s="833"/>
      <c r="D62" s="833"/>
    </row>
    <row r="63" spans="1:4" ht="18.75">
      <c r="A63" s="1677" t="s">
        <v>839</v>
      </c>
      <c r="B63" s="1677"/>
      <c r="C63" s="1677"/>
      <c r="D63" s="1677"/>
    </row>
    <row r="64" spans="1:4" ht="18.75">
      <c r="A64" s="1678" t="s">
        <v>840</v>
      </c>
      <c r="B64" s="1678"/>
      <c r="C64" s="1678"/>
      <c r="D64" s="1678"/>
    </row>
    <row r="65" spans="1:5" ht="18.75">
      <c r="A65" s="872"/>
      <c r="B65" s="872"/>
      <c r="C65" s="872"/>
      <c r="D65" s="872"/>
    </row>
    <row r="66" spans="1:5" ht="18.75">
      <c r="A66" s="1654" t="str">
        <f>"1. تاريخ عقد الوعد المقترن بوعد الشراء: "&amp;TEXT('مدخلات العقود'!$J$15,"dd/mm/yyyy")</f>
        <v>1. تاريخ عقد الوعد المقترن بوعد الشراء: 00/01/1900</v>
      </c>
      <c r="B66" s="1655"/>
      <c r="C66" s="1655"/>
      <c r="D66" s="1656"/>
    </row>
    <row r="67" spans="1:5" ht="18.75">
      <c r="A67" s="870"/>
      <c r="B67" s="870"/>
      <c r="C67" s="870"/>
      <c r="D67" s="870"/>
    </row>
    <row r="68" spans="1:5" ht="60.75" customHeight="1">
      <c r="A68" s="1654" t="str">
        <f>"2. اسم المستأجر: السيد/ السيدة: "&amp;'مدخلات العقود'!$B$2&amp;"، حامل هوية رقم: "&amp;'مدخلات العقود'!$D$2&amp;"، والصادرة في: "&amp;'مدخلات العقود'!$F$2&amp;"، بتاريخ: "&amp;TEXT('مدخلات العقود'!$H$2,"dd/mm/yyyy")&amp;"، وعنوانة لغايات التبليغ: "&amp;'مدخلات العقود'!$J$2&amp;"، ورقم هاتفه: "&amp;'مدخلات العقود'!$L$2</f>
        <v>2. اسم المستأجر: السيد/ السيدة: 0، حامل هوية رقم: 0، والصادرة في: ، بتاريخ: 00/01/1900، وعنوانة لغايات التبليغ:  -  -  - ، ورقم هاتفه: 0</v>
      </c>
      <c r="B68" s="1679"/>
      <c r="C68" s="1679"/>
      <c r="D68" s="1680"/>
    </row>
    <row r="69" spans="1:5" ht="18.75">
      <c r="A69" s="842"/>
      <c r="B69" s="843"/>
      <c r="C69" s="843"/>
      <c r="D69" s="843"/>
    </row>
    <row r="70" spans="1:5" ht="30" customHeight="1">
      <c r="A70" s="1650" t="s">
        <v>841</v>
      </c>
      <c r="B70" s="1650"/>
      <c r="C70" s="1650"/>
      <c r="D70" s="1650"/>
      <c r="E70" s="789"/>
    </row>
    <row r="71" spans="1:5" ht="75" customHeight="1">
      <c r="A71" s="841" t="s">
        <v>957</v>
      </c>
      <c r="B71" s="1675" t="str">
        <f>'مدخلات العقود'!$F$12</f>
        <v/>
      </c>
      <c r="C71" s="1675"/>
      <c r="D71" s="1675"/>
      <c r="E71" s="790"/>
    </row>
    <row r="72" spans="1:5" ht="75" customHeight="1">
      <c r="A72" s="841" t="s">
        <v>954</v>
      </c>
      <c r="B72" s="1675" t="str">
        <f>'مدخلات العقود'!$J$12</f>
        <v/>
      </c>
      <c r="C72" s="1675"/>
      <c r="D72" s="1675"/>
      <c r="E72" s="789"/>
    </row>
    <row r="73" spans="1:5" ht="75" customHeight="1">
      <c r="A73" s="841" t="s">
        <v>919</v>
      </c>
      <c r="B73" s="1675">
        <f>'مدخلات العقود'!$H$12</f>
        <v>2015</v>
      </c>
      <c r="C73" s="1675"/>
      <c r="D73" s="1675"/>
      <c r="E73" s="789"/>
    </row>
    <row r="74" spans="1:5" ht="75" customHeight="1">
      <c r="A74" s="841" t="s">
        <v>958</v>
      </c>
      <c r="B74" s="1675" t="str">
        <f>'مدخلات العقود'!$L$12</f>
        <v/>
      </c>
      <c r="C74" s="1675"/>
      <c r="D74" s="1675"/>
      <c r="E74" s="789"/>
    </row>
    <row r="75" spans="1:5" ht="23.25">
      <c r="E75" s="789"/>
    </row>
    <row r="76" spans="1:5" ht="30" customHeight="1">
      <c r="A76" s="1650">
        <v>4</v>
      </c>
      <c r="B76" s="1676"/>
      <c r="C76" s="1676"/>
      <c r="D76" s="1676"/>
      <c r="E76" s="790"/>
    </row>
    <row r="77" spans="1:5" ht="60" customHeight="1">
      <c r="A77" s="839" t="str">
        <f>'مدخلات العقود'!$A$10</f>
        <v>السعر غير شامل ضريبة القيمة المضافة بالدولار</v>
      </c>
      <c r="B77" s="839" t="str">
        <f>'مدخلات العقود'!$D$10</f>
        <v>السعر شامل ضريبة القيمة المضافة بالدولار</v>
      </c>
      <c r="C77" s="839" t="str">
        <f>'مدخلات العقود'!$G$10</f>
        <v>قيمة الدفعة الأولى</v>
      </c>
      <c r="D77" s="839" t="str">
        <f>'مدخلات العقود'!$I$10</f>
        <v>المبلغ للدفع</v>
      </c>
    </row>
    <row r="78" spans="1:5" ht="60" customHeight="1">
      <c r="A78" s="840">
        <f>'مدخلات العقود'!$C$10</f>
        <v>0</v>
      </c>
      <c r="B78" s="840">
        <f>'مدخلات العقود'!$F$10</f>
        <v>0</v>
      </c>
      <c r="C78" s="840">
        <f>'مدخلات العقود'!$H$10</f>
        <v>0</v>
      </c>
      <c r="D78" s="840">
        <f>'مدخلات العقود'!$J$10</f>
        <v>0</v>
      </c>
    </row>
    <row r="79" spans="1:5" ht="18.75">
      <c r="A79" s="832"/>
      <c r="B79" s="833"/>
      <c r="C79" s="833"/>
      <c r="D79" s="833"/>
    </row>
    <row r="80" spans="1:5" ht="35.25">
      <c r="A80" s="1574" t="s">
        <v>798</v>
      </c>
      <c r="B80" s="1574"/>
      <c r="C80" s="1574"/>
      <c r="D80" s="1574"/>
    </row>
    <row r="81" spans="1:4" ht="18.75">
      <c r="A81" s="1682" t="str">
        <f>"التاريخ "&amp;TEXT('مدخلات العقود'!$J$15,"dd/mm/yyyy")</f>
        <v>التاريخ 00/01/1900</v>
      </c>
      <c r="B81" s="1682"/>
      <c r="C81" s="1682"/>
      <c r="D81" s="1682"/>
    </row>
    <row r="82" spans="1:4" ht="18.75">
      <c r="A82" s="1651" t="s">
        <v>972</v>
      </c>
      <c r="B82" s="1651"/>
      <c r="C82" s="1651"/>
      <c r="D82" s="1651"/>
    </row>
    <row r="83" spans="1:4" ht="60" customHeight="1">
      <c r="A83" s="1683" t="str">
        <f>"البند 1- الفريق الأول (المورد للعين): "&amp;'مدخلات العقود'!$B$9&amp; " ورقم تسجيل/ حامل هوية رقم "&amp; 'مدخلات العقود'!$D$9&amp;"، الصادرة في "&amp;'مدخلات العقود'!$F$9&amp;"، بتاريخ "&amp;TEXT('مدخلات العقود'!$H$9,"dd/mm/yyyy")&amp;"، وعنوانه لغايات التبليغ "&amp;'مدخلات العقود'!$J$9&amp;"، ورقم هاتفه "&amp;'مدخلات العقود'!$L$9</f>
        <v>البند 1- الفريق الأول (المورد للعين): 0 ورقم تسجيل/ حامل هوية رقم 0، الصادرة في ، بتاريخ 00/01/1900، وعنوانه لغايات التبليغ رام الله، ورقم هاتفه 0</v>
      </c>
      <c r="B83" s="1683"/>
      <c r="C83" s="1683"/>
      <c r="D83" s="1683"/>
    </row>
    <row r="84" spans="1:4" ht="168.95" customHeight="1">
      <c r="A84" s="1647" t="s">
        <v>1180</v>
      </c>
      <c r="B84" s="1647"/>
      <c r="C84" s="1647"/>
      <c r="D84" s="1647"/>
    </row>
    <row r="85" spans="1:4" ht="18.75">
      <c r="A85" s="1651" t="s">
        <v>973</v>
      </c>
      <c r="B85" s="1651"/>
      <c r="C85" s="1651"/>
      <c r="D85" s="1651"/>
    </row>
    <row r="86" spans="1:4" ht="18.75">
      <c r="A86" s="1651" t="s">
        <v>799</v>
      </c>
      <c r="B86" s="1651"/>
      <c r="C86" s="1651"/>
      <c r="D86" s="1651"/>
    </row>
    <row r="87" spans="1:4" ht="237" customHeight="1">
      <c r="A87" s="1651" t="s">
        <v>974</v>
      </c>
      <c r="B87" s="1651"/>
      <c r="C87" s="1651"/>
      <c r="D87" s="1651"/>
    </row>
    <row r="88" spans="1:4" ht="18.75">
      <c r="A88" s="1647" t="s">
        <v>800</v>
      </c>
      <c r="B88" s="1651"/>
      <c r="C88" s="1651"/>
      <c r="D88" s="1651"/>
    </row>
    <row r="89" spans="1:4" ht="126" customHeight="1">
      <c r="A89" s="1651" t="s">
        <v>1169</v>
      </c>
      <c r="B89" s="1651"/>
      <c r="C89" s="1651"/>
      <c r="D89" s="1651"/>
    </row>
    <row r="90" spans="1:4" ht="18.75">
      <c r="A90" s="1681" t="s">
        <v>1170</v>
      </c>
      <c r="B90" s="1681"/>
      <c r="C90" s="1681"/>
      <c r="D90" s="1681"/>
    </row>
    <row r="91" spans="1:4" ht="18.75">
      <c r="A91" s="1681" t="s">
        <v>801</v>
      </c>
      <c r="B91" s="1651"/>
      <c r="C91" s="1651"/>
      <c r="D91" s="1651"/>
    </row>
    <row r="92" spans="1:4" ht="38.1" customHeight="1">
      <c r="A92" s="1681" t="s">
        <v>1171</v>
      </c>
      <c r="B92" s="1651"/>
      <c r="C92" s="1651"/>
      <c r="D92" s="1651"/>
    </row>
    <row r="93" spans="1:4" ht="38.1" customHeight="1">
      <c r="A93" s="1681" t="s">
        <v>802</v>
      </c>
      <c r="B93" s="1651"/>
      <c r="C93" s="1651"/>
      <c r="D93" s="1651"/>
    </row>
    <row r="94" spans="1:4" ht="75" customHeight="1">
      <c r="A94" s="1651" t="s">
        <v>1172</v>
      </c>
      <c r="B94" s="1651"/>
      <c r="C94" s="1651"/>
      <c r="D94" s="1651"/>
    </row>
    <row r="95" spans="1:4" ht="57" customHeight="1">
      <c r="A95" s="1651" t="s">
        <v>803</v>
      </c>
      <c r="B95" s="1651"/>
      <c r="C95" s="1651"/>
      <c r="D95" s="1651"/>
    </row>
    <row r="96" spans="1:4" ht="75" customHeight="1">
      <c r="A96" s="1651" t="s">
        <v>804</v>
      </c>
      <c r="B96" s="1651"/>
      <c r="C96" s="1651"/>
      <c r="D96" s="1651"/>
    </row>
    <row r="97" spans="1:4" ht="38.1" customHeight="1">
      <c r="A97" s="1651" t="s">
        <v>805</v>
      </c>
      <c r="B97" s="1651"/>
      <c r="C97" s="1651"/>
      <c r="D97" s="1651"/>
    </row>
    <row r="98" spans="1:4" ht="57" customHeight="1">
      <c r="A98" s="1651" t="s">
        <v>806</v>
      </c>
      <c r="B98" s="1651"/>
      <c r="C98" s="1651"/>
      <c r="D98" s="1651"/>
    </row>
    <row r="99" spans="1:4" ht="38.1" customHeight="1">
      <c r="A99" s="1651" t="s">
        <v>1173</v>
      </c>
      <c r="B99" s="1651"/>
      <c r="C99" s="1651"/>
      <c r="D99" s="1651"/>
    </row>
    <row r="100" spans="1:4" ht="113.1" customHeight="1">
      <c r="A100" s="1651" t="s">
        <v>1183</v>
      </c>
      <c r="B100" s="1651"/>
      <c r="C100" s="1651"/>
      <c r="D100" s="1651"/>
    </row>
    <row r="101" spans="1:4" ht="38.1" customHeight="1">
      <c r="A101" s="1651" t="s">
        <v>807</v>
      </c>
      <c r="B101" s="1651"/>
      <c r="C101" s="1651"/>
      <c r="D101" s="1651"/>
    </row>
    <row r="102" spans="1:4" ht="57" customHeight="1">
      <c r="A102" s="1651" t="s">
        <v>808</v>
      </c>
      <c r="B102" s="1651"/>
      <c r="C102" s="1651"/>
      <c r="D102" s="1651"/>
    </row>
    <row r="103" spans="1:4" ht="93.95" customHeight="1">
      <c r="A103" s="1651" t="s">
        <v>1174</v>
      </c>
      <c r="B103" s="1651"/>
      <c r="C103" s="1651"/>
      <c r="D103" s="1651"/>
    </row>
    <row r="104" spans="1:4" ht="18.75">
      <c r="A104" s="1651" t="s">
        <v>809</v>
      </c>
      <c r="B104" s="1651"/>
      <c r="C104" s="1651"/>
      <c r="D104" s="1651"/>
    </row>
    <row r="105" spans="1:4" ht="38.1" customHeight="1">
      <c r="A105" s="1651" t="s">
        <v>810</v>
      </c>
      <c r="B105" s="1651"/>
      <c r="C105" s="1651"/>
      <c r="D105" s="1651"/>
    </row>
    <row r="106" spans="1:4" ht="57" customHeight="1">
      <c r="A106" s="1681" t="s">
        <v>1175</v>
      </c>
      <c r="B106" s="1651"/>
      <c r="C106" s="1651"/>
      <c r="D106" s="1651"/>
    </row>
    <row r="107" spans="1:4" ht="18.75">
      <c r="A107" s="1647" t="s">
        <v>811</v>
      </c>
      <c r="B107" s="1647"/>
      <c r="C107" s="1647"/>
      <c r="D107" s="1647"/>
    </row>
    <row r="108" spans="1:4" ht="38.1" customHeight="1">
      <c r="A108" s="1651" t="s">
        <v>1176</v>
      </c>
      <c r="B108" s="1651"/>
      <c r="C108" s="1651"/>
      <c r="D108" s="1651"/>
    </row>
    <row r="109" spans="1:4" ht="18.75">
      <c r="A109" s="1651" t="s">
        <v>812</v>
      </c>
      <c r="B109" s="1651"/>
      <c r="C109" s="1651"/>
      <c r="D109" s="1651"/>
    </row>
    <row r="110" spans="1:4" ht="38.1" customHeight="1">
      <c r="A110" s="1651" t="s">
        <v>813</v>
      </c>
      <c r="B110" s="1651"/>
      <c r="C110" s="1651"/>
      <c r="D110" s="1651"/>
    </row>
    <row r="111" spans="1:4" ht="18.75">
      <c r="A111" s="1651" t="s">
        <v>814</v>
      </c>
      <c r="B111" s="1651"/>
      <c r="C111" s="1651"/>
      <c r="D111" s="1651"/>
    </row>
    <row r="112" spans="1:4" ht="38.1" customHeight="1">
      <c r="A112" s="1651" t="s">
        <v>815</v>
      </c>
      <c r="B112" s="1651"/>
      <c r="C112" s="1651"/>
      <c r="D112" s="1651"/>
    </row>
    <row r="113" spans="1:4" ht="18.75">
      <c r="A113" s="1647" t="s">
        <v>816</v>
      </c>
      <c r="B113" s="1651"/>
      <c r="C113" s="1651"/>
      <c r="D113" s="1651"/>
    </row>
    <row r="114" spans="1:4" ht="57" customHeight="1">
      <c r="A114" s="1651" t="s">
        <v>817</v>
      </c>
      <c r="B114" s="1651"/>
      <c r="C114" s="1651"/>
      <c r="D114" s="1651"/>
    </row>
    <row r="115" spans="1:4" ht="57" customHeight="1">
      <c r="A115" s="1651" t="s">
        <v>818</v>
      </c>
      <c r="B115" s="1651"/>
      <c r="C115" s="1651"/>
      <c r="D115" s="1651"/>
    </row>
    <row r="116" spans="1:4" ht="18.75">
      <c r="A116" s="1651" t="s">
        <v>819</v>
      </c>
      <c r="B116" s="1651"/>
      <c r="C116" s="1651"/>
      <c r="D116" s="1651"/>
    </row>
    <row r="117" spans="1:4" ht="112.5" customHeight="1">
      <c r="A117" s="1651" t="s">
        <v>1184</v>
      </c>
      <c r="B117" s="1651"/>
      <c r="C117" s="1651"/>
      <c r="D117" s="1651"/>
    </row>
    <row r="118" spans="1:4" ht="38.1" customHeight="1">
      <c r="A118" s="1651" t="s">
        <v>1292</v>
      </c>
      <c r="B118" s="1651"/>
      <c r="C118" s="1651"/>
      <c r="D118" s="1651"/>
    </row>
    <row r="119" spans="1:4" ht="38.1" customHeight="1">
      <c r="A119" s="1681" t="s">
        <v>1291</v>
      </c>
      <c r="B119" s="1651"/>
      <c r="C119" s="1651"/>
      <c r="D119" s="1651"/>
    </row>
    <row r="120" spans="1:4" ht="18.75">
      <c r="A120" s="1651" t="s">
        <v>1177</v>
      </c>
      <c r="B120" s="1651"/>
      <c r="C120" s="1651"/>
      <c r="D120" s="1651"/>
    </row>
    <row r="121" spans="1:4" ht="38.1" customHeight="1">
      <c r="A121" s="1651" t="s">
        <v>821</v>
      </c>
      <c r="B121" s="1651"/>
      <c r="C121" s="1651"/>
      <c r="D121" s="1651"/>
    </row>
    <row r="122" spans="1:4" ht="57" customHeight="1">
      <c r="A122" s="1651" t="s">
        <v>822</v>
      </c>
      <c r="B122" s="1651"/>
      <c r="C122" s="1651"/>
      <c r="D122" s="1651"/>
    </row>
    <row r="123" spans="1:4" ht="18.75">
      <c r="A123" s="1651" t="s">
        <v>1178</v>
      </c>
      <c r="B123" s="1651"/>
      <c r="C123" s="1651"/>
      <c r="D123" s="1651"/>
    </row>
    <row r="124" spans="1:4" ht="18.75">
      <c r="A124" s="1651" t="s">
        <v>823</v>
      </c>
      <c r="B124" s="1651"/>
      <c r="C124" s="1651"/>
      <c r="D124" s="1651"/>
    </row>
    <row r="125" spans="1:4" ht="38.1" customHeight="1">
      <c r="A125" s="1651" t="s">
        <v>824</v>
      </c>
      <c r="B125" s="1651"/>
      <c r="C125" s="1651"/>
      <c r="D125" s="1651"/>
    </row>
    <row r="126" spans="1:4" ht="18.75">
      <c r="A126" s="1651" t="s">
        <v>825</v>
      </c>
      <c r="B126" s="1651"/>
      <c r="C126" s="1651"/>
      <c r="D126" s="1651"/>
    </row>
    <row r="127" spans="1:4" ht="93.95" customHeight="1">
      <c r="A127" s="1651" t="s">
        <v>826</v>
      </c>
      <c r="B127" s="1651"/>
      <c r="C127" s="1651"/>
      <c r="D127" s="1651"/>
    </row>
    <row r="128" spans="1:4" ht="38.1" customHeight="1">
      <c r="A128" s="1651" t="s">
        <v>827</v>
      </c>
      <c r="B128" s="1651"/>
      <c r="C128" s="1651"/>
      <c r="D128" s="1651"/>
    </row>
    <row r="129" spans="1:4" ht="38.1" customHeight="1">
      <c r="A129" s="1651" t="s">
        <v>828</v>
      </c>
      <c r="B129" s="1651"/>
      <c r="C129" s="1651"/>
      <c r="D129" s="1651"/>
    </row>
    <row r="130" spans="1:4" ht="18.75">
      <c r="A130" s="1647" t="s">
        <v>829</v>
      </c>
      <c r="B130" s="1651"/>
      <c r="C130" s="1651"/>
      <c r="D130" s="1651"/>
    </row>
    <row r="131" spans="1:4" ht="168.95" customHeight="1">
      <c r="A131" s="1651" t="s">
        <v>830</v>
      </c>
      <c r="B131" s="1651"/>
      <c r="C131" s="1651"/>
      <c r="D131" s="1651"/>
    </row>
    <row r="132" spans="1:4" ht="18.75">
      <c r="A132" s="1651" t="s">
        <v>1179</v>
      </c>
      <c r="B132" s="1651"/>
      <c r="C132" s="1651"/>
      <c r="D132" s="1651"/>
    </row>
    <row r="133" spans="1:4" ht="75" customHeight="1">
      <c r="A133" s="1651" t="s">
        <v>831</v>
      </c>
      <c r="B133" s="1651"/>
      <c r="C133" s="1651"/>
      <c r="D133" s="1651"/>
    </row>
    <row r="134" spans="1:4" ht="18.75">
      <c r="A134" s="1647" t="s">
        <v>832</v>
      </c>
      <c r="B134" s="1651"/>
      <c r="C134" s="1651"/>
      <c r="D134" s="1651"/>
    </row>
    <row r="135" spans="1:4" ht="93.95" customHeight="1">
      <c r="A135" s="1651" t="s">
        <v>833</v>
      </c>
      <c r="B135" s="1651"/>
      <c r="C135" s="1651"/>
      <c r="D135" s="1651"/>
    </row>
    <row r="136" spans="1:4" ht="18.75">
      <c r="A136" s="1647" t="s">
        <v>834</v>
      </c>
      <c r="B136" s="1651"/>
      <c r="C136" s="1651"/>
      <c r="D136" s="1651"/>
    </row>
    <row r="137" spans="1:4" ht="75" customHeight="1">
      <c r="A137" s="1651" t="s">
        <v>835</v>
      </c>
      <c r="B137" s="1651"/>
      <c r="C137" s="1651"/>
      <c r="D137" s="1651"/>
    </row>
    <row r="138" spans="1:4" ht="18.75">
      <c r="A138" s="1647" t="s">
        <v>836</v>
      </c>
      <c r="B138" s="1651"/>
      <c r="C138" s="1651"/>
      <c r="D138" s="1651"/>
    </row>
    <row r="139" spans="1:4" ht="113.1" customHeight="1">
      <c r="A139" s="1651" t="s">
        <v>837</v>
      </c>
      <c r="B139" s="1651"/>
      <c r="C139" s="1651"/>
      <c r="D139" s="1651"/>
    </row>
    <row r="140" spans="1:4" ht="93.95" customHeight="1">
      <c r="A140" s="1651" t="s">
        <v>838</v>
      </c>
      <c r="B140" s="1651"/>
      <c r="C140" s="1651"/>
      <c r="D140" s="1651"/>
    </row>
    <row r="141" spans="1:4" ht="18.75">
      <c r="A141" s="805"/>
      <c r="B141" s="833"/>
      <c r="C141" s="833"/>
      <c r="D141" s="833"/>
    </row>
    <row r="142" spans="1:4" ht="18.75">
      <c r="A142" s="1677" t="s">
        <v>839</v>
      </c>
      <c r="B142" s="1677"/>
      <c r="C142" s="1677"/>
      <c r="D142" s="1677"/>
    </row>
    <row r="143" spans="1:4" ht="18.75">
      <c r="A143" s="1678" t="s">
        <v>840</v>
      </c>
      <c r="B143" s="1678"/>
      <c r="C143" s="1678"/>
      <c r="D143" s="1678"/>
    </row>
    <row r="144" spans="1:4" ht="18.75">
      <c r="A144" s="872"/>
      <c r="B144" s="872"/>
      <c r="C144" s="872"/>
      <c r="D144" s="872"/>
    </row>
    <row r="145" spans="1:5" ht="18.75">
      <c r="A145" s="1654" t="str">
        <f>"1. تاريخ عقد الوعد المقترن بوعد الشراء: "&amp;TEXT('مدخلات العقود'!$J$15,"dd/mm/yyyy")</f>
        <v>1. تاريخ عقد الوعد المقترن بوعد الشراء: 00/01/1900</v>
      </c>
      <c r="B145" s="1655"/>
      <c r="C145" s="1655"/>
      <c r="D145" s="1656"/>
    </row>
    <row r="146" spans="1:5" ht="18.75">
      <c r="A146" s="870"/>
      <c r="B146" s="870"/>
      <c r="C146" s="870"/>
      <c r="D146" s="870"/>
    </row>
    <row r="147" spans="1:5" ht="60.75" customHeight="1">
      <c r="A147" s="1654" t="str">
        <f>"2. اسم المستأجر: السيد/ السيدة: "&amp;'مدخلات العقود'!$B$2&amp;"، حامل هوية رقم: "&amp;'مدخلات العقود'!$D$2&amp;"، والصادرة في: "&amp;'مدخلات العقود'!$F$2&amp;"، بتاريخ: "&amp;TEXT('مدخلات العقود'!$H$2,"dd/mm/yyyy")&amp;"، وعنوانة لغايات التبليغ: "&amp;'مدخلات العقود'!$J$2&amp;"، ورقم هاتفه: "&amp;'مدخلات العقود'!$L$2</f>
        <v>2. اسم المستأجر: السيد/ السيدة: 0، حامل هوية رقم: 0، والصادرة في: ، بتاريخ: 00/01/1900، وعنوانة لغايات التبليغ:  -  -  - ، ورقم هاتفه: 0</v>
      </c>
      <c r="B147" s="1679"/>
      <c r="C147" s="1679"/>
      <c r="D147" s="1680"/>
    </row>
    <row r="148" spans="1:5" ht="18.75">
      <c r="A148" s="842"/>
      <c r="B148" s="843"/>
      <c r="C148" s="843"/>
      <c r="D148" s="843"/>
    </row>
    <row r="149" spans="1:5" ht="30" customHeight="1">
      <c r="A149" s="1650" t="s">
        <v>841</v>
      </c>
      <c r="B149" s="1650"/>
      <c r="C149" s="1650"/>
      <c r="D149" s="1650"/>
      <c r="E149" s="789"/>
    </row>
    <row r="150" spans="1:5" ht="75" customHeight="1">
      <c r="A150" s="841" t="s">
        <v>957</v>
      </c>
      <c r="B150" s="1675" t="str">
        <f>'مدخلات العقود'!$F$12</f>
        <v/>
      </c>
      <c r="C150" s="1675"/>
      <c r="D150" s="1675"/>
      <c r="E150" s="790"/>
    </row>
    <row r="151" spans="1:5" ht="75" customHeight="1">
      <c r="A151" s="841" t="s">
        <v>954</v>
      </c>
      <c r="B151" s="1675" t="str">
        <f>'مدخلات العقود'!$J$12</f>
        <v/>
      </c>
      <c r="C151" s="1675"/>
      <c r="D151" s="1675"/>
      <c r="E151" s="789"/>
    </row>
    <row r="152" spans="1:5" ht="75" customHeight="1">
      <c r="A152" s="841" t="s">
        <v>919</v>
      </c>
      <c r="B152" s="1675">
        <f>'مدخلات العقود'!$H$12</f>
        <v>2015</v>
      </c>
      <c r="C152" s="1675"/>
      <c r="D152" s="1675"/>
      <c r="E152" s="789"/>
    </row>
    <row r="153" spans="1:5" ht="75" customHeight="1">
      <c r="A153" s="841" t="s">
        <v>958</v>
      </c>
      <c r="B153" s="1675" t="str">
        <f>'مدخلات العقود'!$L$12</f>
        <v/>
      </c>
      <c r="C153" s="1675"/>
      <c r="D153" s="1675"/>
      <c r="E153" s="789"/>
    </row>
    <row r="154" spans="1:5" ht="23.25">
      <c r="E154" s="789"/>
    </row>
    <row r="155" spans="1:5" ht="30" customHeight="1">
      <c r="A155" s="1650">
        <v>4</v>
      </c>
      <c r="B155" s="1676"/>
      <c r="C155" s="1676"/>
      <c r="D155" s="1676"/>
      <c r="E155" s="790"/>
    </row>
    <row r="156" spans="1:5" ht="60" customHeight="1">
      <c r="A156" s="839" t="str">
        <f>'مدخلات العقود'!$A$10</f>
        <v>السعر غير شامل ضريبة القيمة المضافة بالدولار</v>
      </c>
      <c r="B156" s="839" t="str">
        <f>'مدخلات العقود'!$D$10</f>
        <v>السعر شامل ضريبة القيمة المضافة بالدولار</v>
      </c>
      <c r="C156" s="839" t="str">
        <f>'مدخلات العقود'!$G$10</f>
        <v>قيمة الدفعة الأولى</v>
      </c>
      <c r="D156" s="839" t="str">
        <f>'مدخلات العقود'!$I$10</f>
        <v>المبلغ للدفع</v>
      </c>
    </row>
    <row r="157" spans="1:5" ht="60" customHeight="1">
      <c r="A157" s="840">
        <f>'مدخلات العقود'!$C$10</f>
        <v>0</v>
      </c>
      <c r="B157" s="840">
        <f>'مدخلات العقود'!$F$10</f>
        <v>0</v>
      </c>
      <c r="C157" s="840">
        <f>'مدخلات العقود'!$H$10</f>
        <v>0</v>
      </c>
      <c r="D157" s="840">
        <f>'مدخلات العقود'!$J$10</f>
        <v>0</v>
      </c>
    </row>
    <row r="158" spans="1:5" ht="18.75">
      <c r="A158" s="832"/>
      <c r="B158" s="833"/>
      <c r="C158" s="833"/>
      <c r="D158" s="833"/>
    </row>
  </sheetData>
  <mergeCells count="142">
    <mergeCell ref="A80:D80"/>
    <mergeCell ref="A81:D81"/>
    <mergeCell ref="A82:D82"/>
    <mergeCell ref="A83:D83"/>
    <mergeCell ref="A84:D84"/>
    <mergeCell ref="A85:D85"/>
    <mergeCell ref="A92:D92"/>
    <mergeCell ref="A93:D93"/>
    <mergeCell ref="A94:D94"/>
    <mergeCell ref="A95:D95"/>
    <mergeCell ref="A96:D96"/>
    <mergeCell ref="A97:D97"/>
    <mergeCell ref="A86:D86"/>
    <mergeCell ref="A87:D87"/>
    <mergeCell ref="A88:D88"/>
    <mergeCell ref="A89:D89"/>
    <mergeCell ref="A90:D90"/>
    <mergeCell ref="A91:D91"/>
    <mergeCell ref="A104:D104"/>
    <mergeCell ref="A105:D105"/>
    <mergeCell ref="A106:D106"/>
    <mergeCell ref="A107:D107"/>
    <mergeCell ref="A108:D108"/>
    <mergeCell ref="A109:D109"/>
    <mergeCell ref="A98:D98"/>
    <mergeCell ref="A99:D99"/>
    <mergeCell ref="A100:D100"/>
    <mergeCell ref="A101:D101"/>
    <mergeCell ref="A102:D102"/>
    <mergeCell ref="A103:D103"/>
    <mergeCell ref="A116:D116"/>
    <mergeCell ref="A117:D117"/>
    <mergeCell ref="A118:D118"/>
    <mergeCell ref="A119:D119"/>
    <mergeCell ref="A120:D120"/>
    <mergeCell ref="A121:D121"/>
    <mergeCell ref="A110:D110"/>
    <mergeCell ref="A111:D111"/>
    <mergeCell ref="A112:D112"/>
    <mergeCell ref="A113:D113"/>
    <mergeCell ref="A114:D114"/>
    <mergeCell ref="A115:D115"/>
    <mergeCell ref="A128:D128"/>
    <mergeCell ref="A129:D129"/>
    <mergeCell ref="A130:D130"/>
    <mergeCell ref="A131:D131"/>
    <mergeCell ref="A132:D132"/>
    <mergeCell ref="A133:D133"/>
    <mergeCell ref="A122:D122"/>
    <mergeCell ref="A123:D123"/>
    <mergeCell ref="A124:D124"/>
    <mergeCell ref="A125:D125"/>
    <mergeCell ref="A126:D126"/>
    <mergeCell ref="A127:D127"/>
    <mergeCell ref="A140:D140"/>
    <mergeCell ref="A142:D142"/>
    <mergeCell ref="A143:D143"/>
    <mergeCell ref="A145:D145"/>
    <mergeCell ref="A134:D134"/>
    <mergeCell ref="A135:D135"/>
    <mergeCell ref="A136:D136"/>
    <mergeCell ref="A137:D137"/>
    <mergeCell ref="A138:D138"/>
    <mergeCell ref="A139:D139"/>
    <mergeCell ref="A147:D147"/>
    <mergeCell ref="A149:D149"/>
    <mergeCell ref="B150:D150"/>
    <mergeCell ref="B151:D151"/>
    <mergeCell ref="B152:D152"/>
    <mergeCell ref="B153:D153"/>
    <mergeCell ref="A155:D155"/>
    <mergeCell ref="A7:D7"/>
    <mergeCell ref="A8:D8"/>
    <mergeCell ref="A9:D9"/>
    <mergeCell ref="A10:D10"/>
    <mergeCell ref="A11:D11"/>
    <mergeCell ref="A12:D12"/>
    <mergeCell ref="A22:D22"/>
    <mergeCell ref="A23:D23"/>
    <mergeCell ref="A24:D24"/>
    <mergeCell ref="A31:D31"/>
    <mergeCell ref="A32:D32"/>
    <mergeCell ref="A33:D33"/>
    <mergeCell ref="A34:D34"/>
    <mergeCell ref="A35:D35"/>
    <mergeCell ref="A36:D36"/>
    <mergeCell ref="A25:D25"/>
    <mergeCell ref="A26:D26"/>
    <mergeCell ref="A1:D1"/>
    <mergeCell ref="A2:D2"/>
    <mergeCell ref="A3:D3"/>
    <mergeCell ref="A4:D4"/>
    <mergeCell ref="A5:D5"/>
    <mergeCell ref="A6:D6"/>
    <mergeCell ref="A19:D19"/>
    <mergeCell ref="A20:D20"/>
    <mergeCell ref="A21:D21"/>
    <mergeCell ref="A13:D13"/>
    <mergeCell ref="A14:D14"/>
    <mergeCell ref="A15:D15"/>
    <mergeCell ref="A16:D16"/>
    <mergeCell ref="A17:D17"/>
    <mergeCell ref="A18:D18"/>
    <mergeCell ref="A27:D27"/>
    <mergeCell ref="A28:D28"/>
    <mergeCell ref="A29:D29"/>
    <mergeCell ref="A30:D30"/>
    <mergeCell ref="A43:D43"/>
    <mergeCell ref="A44:D44"/>
    <mergeCell ref="A45:D45"/>
    <mergeCell ref="A46:D46"/>
    <mergeCell ref="A47:D47"/>
    <mergeCell ref="A48:D48"/>
    <mergeCell ref="A37:D37"/>
    <mergeCell ref="A38:D38"/>
    <mergeCell ref="A39:D39"/>
    <mergeCell ref="A40:D40"/>
    <mergeCell ref="A41:D41"/>
    <mergeCell ref="A42:D42"/>
    <mergeCell ref="A55:D55"/>
    <mergeCell ref="A56:D56"/>
    <mergeCell ref="A57:D57"/>
    <mergeCell ref="A58:D58"/>
    <mergeCell ref="A59:D59"/>
    <mergeCell ref="A60:D60"/>
    <mergeCell ref="A49:D49"/>
    <mergeCell ref="A50:D50"/>
    <mergeCell ref="A51:D51"/>
    <mergeCell ref="A52:D52"/>
    <mergeCell ref="A53:D53"/>
    <mergeCell ref="A54:D54"/>
    <mergeCell ref="B71:D71"/>
    <mergeCell ref="B72:D72"/>
    <mergeCell ref="B73:D73"/>
    <mergeCell ref="B74:D74"/>
    <mergeCell ref="A76:D76"/>
    <mergeCell ref="A61:D61"/>
    <mergeCell ref="A63:D63"/>
    <mergeCell ref="A64:D64"/>
    <mergeCell ref="A66:D66"/>
    <mergeCell ref="A68:D68"/>
    <mergeCell ref="A70:D70"/>
  </mergeCells>
  <conditionalFormatting sqref="A78:D78">
    <cfRule type="expression" dxfId="28" priority="1">
      <formula>FC=EUR</formula>
    </cfRule>
    <cfRule type="expression" dxfId="27" priority="5">
      <formula>A78=""</formula>
    </cfRule>
  </conditionalFormatting>
  <conditionalFormatting sqref="A157:D157">
    <cfRule type="expression" dxfId="26" priority="2">
      <formula>A157=""</formula>
    </cfRule>
  </conditionalFormatting>
  <pageMargins left="0.7" right="0.7" top="0.75" bottom="0.75" header="0.3" footer="0.3"/>
  <pageSetup scale="63" fitToWidth="50" fitToHeight="50" orientation="portrait" r:id="rId1"/>
  <headerFooter>
    <oddFooter>&amp;L&amp;"-,Bold"&amp;14المورد&amp;"-,Regular"&amp;11
____________________________________&amp;R&amp;"-,Bold"&amp;14المشتري (شركة الإجارة الفلسطينية)&amp;"-,Regular"
_______________________________</oddFooter>
  </headerFooter>
  <rowBreaks count="3" manualBreakCount="3">
    <brk id="62" max="3" man="1"/>
    <brk id="79" max="3" man="1"/>
    <brk id="141" max="3" man="1"/>
  </rowBreaks>
  <colBreaks count="1" manualBreakCount="1">
    <brk id="4" max="1048575" man="1"/>
  </colBreaks>
  <extLst>
    <ext xmlns:x14="http://schemas.microsoft.com/office/spreadsheetml/2009/9/main" uri="{78C0D931-6437-407d-A8EE-F0AAD7539E65}">
      <x14:conditionalFormattings>
        <x14:conditionalFormatting xmlns:xm="http://schemas.microsoft.com/office/excel/2006/main">
          <x14:cfRule type="expression" priority="4187" id="{022505B5-C74E-48C0-AB9C-AE8F1E95A4BD}">
            <xm:f>التوصية!$B$279='بيانات للادخال'!$A$3</xm:f>
            <x14:dxf>
              <numFmt numFmtId="181" formatCode="_([$ILS]\ * #,##0.00_);_([$ILS]\ * \(#,##0.00\);_([$ILS]\ * &quot;-&quot;??_);_(@_)"/>
            </x14:dxf>
          </x14:cfRule>
          <x14:cfRule type="expression" priority="4188" id="{FA256EC0-78D8-45E6-97F7-1A59380020A1}">
            <xm:f>التوصية!$B$279='بيانات للادخال'!$A$2</xm:f>
            <x14:dxf>
              <numFmt numFmtId="34" formatCode="_(&quot;$&quot;* #,##0.00_);_(&quot;$&quot;* \(#,##0.00\);_(&quot;$&quot;* &quot;-&quot;??_);_(@_)"/>
            </x14:dxf>
          </x14:cfRule>
          <xm:sqref>A78:D78 A157:D157</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4"/>
  <dimension ref="A11:T20"/>
  <sheetViews>
    <sheetView view="pageBreakPreview" zoomScale="60" zoomScaleNormal="100" workbookViewId="0">
      <selection activeCell="C6" sqref="C6"/>
    </sheetView>
  </sheetViews>
  <sheetFormatPr defaultRowHeight="15"/>
  <sheetData>
    <row r="11" spans="1:20" ht="18.75">
      <c r="A11" s="1684" t="s">
        <v>1181</v>
      </c>
      <c r="B11" s="1685"/>
      <c r="C11" s="1685"/>
      <c r="D11" s="1685"/>
      <c r="E11" s="1685"/>
      <c r="F11" s="1685"/>
      <c r="G11" s="1685"/>
      <c r="H11" s="1685"/>
      <c r="I11" s="1685"/>
      <c r="J11" s="1685"/>
      <c r="K11" s="1685"/>
      <c r="L11" s="1685"/>
      <c r="M11" s="1685"/>
      <c r="N11" s="1685"/>
      <c r="O11" s="1685"/>
      <c r="P11" s="1685"/>
      <c r="Q11" s="1685"/>
      <c r="R11" s="1685"/>
      <c r="S11" s="1685"/>
      <c r="T11" s="1686"/>
    </row>
    <row r="12" spans="1:20" ht="15.75">
      <c r="A12" s="834">
        <v>15.75</v>
      </c>
      <c r="B12" s="810">
        <f>$A$12*B14</f>
        <v>31.5</v>
      </c>
      <c r="C12" s="810">
        <f t="shared" ref="C12:T12" si="0">$A$12*C14</f>
        <v>47.25</v>
      </c>
      <c r="D12" s="810">
        <f t="shared" si="0"/>
        <v>63</v>
      </c>
      <c r="E12" s="810">
        <f t="shared" si="0"/>
        <v>78.75</v>
      </c>
      <c r="F12" s="810">
        <f t="shared" si="0"/>
        <v>94.5</v>
      </c>
      <c r="G12" s="810">
        <f t="shared" si="0"/>
        <v>110.25</v>
      </c>
      <c r="H12" s="810">
        <f t="shared" si="0"/>
        <v>126</v>
      </c>
      <c r="I12" s="810">
        <f t="shared" si="0"/>
        <v>141.75</v>
      </c>
      <c r="J12" s="810">
        <f t="shared" si="0"/>
        <v>157.5</v>
      </c>
      <c r="K12" s="810">
        <f t="shared" si="0"/>
        <v>173.25</v>
      </c>
      <c r="L12" s="810">
        <f t="shared" si="0"/>
        <v>189</v>
      </c>
      <c r="M12" s="810">
        <f t="shared" si="0"/>
        <v>204.75</v>
      </c>
      <c r="N12" s="810">
        <f t="shared" si="0"/>
        <v>220.5</v>
      </c>
      <c r="O12" s="810">
        <f t="shared" si="0"/>
        <v>236.25</v>
      </c>
      <c r="P12" s="810">
        <f t="shared" si="0"/>
        <v>252</v>
      </c>
      <c r="Q12" s="810">
        <f t="shared" si="0"/>
        <v>267.75</v>
      </c>
      <c r="R12" s="810">
        <f t="shared" si="0"/>
        <v>283.5</v>
      </c>
      <c r="S12" s="810">
        <f t="shared" si="0"/>
        <v>299.25</v>
      </c>
      <c r="T12" s="835">
        <f t="shared" si="0"/>
        <v>315</v>
      </c>
    </row>
    <row r="13" spans="1:20" ht="15.75">
      <c r="A13" s="834">
        <f>ROUNDUP(A12,0)</f>
        <v>16</v>
      </c>
      <c r="B13" s="810">
        <f t="shared" ref="B13:L13" si="1">ROUNDUP(B12,0)</f>
        <v>32</v>
      </c>
      <c r="C13" s="810">
        <f t="shared" si="1"/>
        <v>48</v>
      </c>
      <c r="D13" s="810">
        <f t="shared" si="1"/>
        <v>63</v>
      </c>
      <c r="E13" s="810">
        <f t="shared" si="1"/>
        <v>79</v>
      </c>
      <c r="F13" s="810">
        <f t="shared" si="1"/>
        <v>95</v>
      </c>
      <c r="G13" s="810">
        <f t="shared" si="1"/>
        <v>111</v>
      </c>
      <c r="H13" s="810">
        <f t="shared" si="1"/>
        <v>126</v>
      </c>
      <c r="I13" s="810">
        <f t="shared" si="1"/>
        <v>142</v>
      </c>
      <c r="J13" s="810">
        <f t="shared" si="1"/>
        <v>158</v>
      </c>
      <c r="K13" s="810">
        <f t="shared" si="1"/>
        <v>174</v>
      </c>
      <c r="L13" s="810">
        <f t="shared" si="1"/>
        <v>189</v>
      </c>
      <c r="M13" s="810">
        <f t="shared" ref="M13:P13" si="2">ROUNDUP(M12,0)</f>
        <v>205</v>
      </c>
      <c r="N13" s="810">
        <f t="shared" si="2"/>
        <v>221</v>
      </c>
      <c r="O13" s="810">
        <f t="shared" si="2"/>
        <v>237</v>
      </c>
      <c r="P13" s="810">
        <f t="shared" si="2"/>
        <v>252</v>
      </c>
      <c r="Q13" s="810">
        <f t="shared" ref="Q13:T13" si="3">ROUNDUP(Q12,0)</f>
        <v>268</v>
      </c>
      <c r="R13" s="810">
        <f t="shared" si="3"/>
        <v>284</v>
      </c>
      <c r="S13" s="810">
        <f t="shared" si="3"/>
        <v>300</v>
      </c>
      <c r="T13" s="835">
        <f t="shared" si="3"/>
        <v>315</v>
      </c>
    </row>
    <row r="14" spans="1:20" ht="15.75">
      <c r="A14" s="836">
        <v>1</v>
      </c>
      <c r="B14" s="837">
        <f>A14+1</f>
        <v>2</v>
      </c>
      <c r="C14" s="837">
        <f t="shared" ref="C14:L14" si="4">B14+1</f>
        <v>3</v>
      </c>
      <c r="D14" s="837">
        <f t="shared" si="4"/>
        <v>4</v>
      </c>
      <c r="E14" s="837">
        <f t="shared" si="4"/>
        <v>5</v>
      </c>
      <c r="F14" s="837">
        <f t="shared" si="4"/>
        <v>6</v>
      </c>
      <c r="G14" s="837">
        <f t="shared" si="4"/>
        <v>7</v>
      </c>
      <c r="H14" s="837">
        <f t="shared" si="4"/>
        <v>8</v>
      </c>
      <c r="I14" s="837">
        <f t="shared" si="4"/>
        <v>9</v>
      </c>
      <c r="J14" s="837">
        <f t="shared" si="4"/>
        <v>10</v>
      </c>
      <c r="K14" s="837">
        <f t="shared" si="4"/>
        <v>11</v>
      </c>
      <c r="L14" s="837">
        <f t="shared" si="4"/>
        <v>12</v>
      </c>
      <c r="M14" s="837">
        <f t="shared" ref="M14:P14" si="5">L14+1</f>
        <v>13</v>
      </c>
      <c r="N14" s="837">
        <f t="shared" si="5"/>
        <v>14</v>
      </c>
      <c r="O14" s="837">
        <f t="shared" si="5"/>
        <v>15</v>
      </c>
      <c r="P14" s="837">
        <f t="shared" si="5"/>
        <v>16</v>
      </c>
      <c r="Q14" s="837">
        <f t="shared" ref="Q14:T14" si="6">P14+1</f>
        <v>17</v>
      </c>
      <c r="R14" s="837">
        <f t="shared" si="6"/>
        <v>18</v>
      </c>
      <c r="S14" s="837">
        <f t="shared" si="6"/>
        <v>19</v>
      </c>
      <c r="T14" s="838">
        <f t="shared" si="6"/>
        <v>20</v>
      </c>
    </row>
    <row r="17" spans="1:20" ht="18.75">
      <c r="A17" s="1684" t="s">
        <v>1182</v>
      </c>
      <c r="B17" s="1685"/>
      <c r="C17" s="1685"/>
      <c r="D17" s="1685"/>
      <c r="E17" s="1685"/>
      <c r="F17" s="1685"/>
      <c r="G17" s="1685"/>
      <c r="H17" s="1685"/>
      <c r="I17" s="1685"/>
      <c r="J17" s="1685"/>
      <c r="K17" s="1685"/>
      <c r="L17" s="1685"/>
      <c r="M17" s="1685"/>
      <c r="N17" s="1685"/>
      <c r="O17" s="1685"/>
      <c r="P17" s="1685"/>
      <c r="Q17" s="1685"/>
      <c r="R17" s="1685"/>
      <c r="S17" s="1685"/>
      <c r="T17" s="1686"/>
    </row>
    <row r="18" spans="1:20" ht="15.75">
      <c r="A18" s="834">
        <v>18.75</v>
      </c>
      <c r="B18" s="810">
        <f>$A$18*B20</f>
        <v>37.5</v>
      </c>
      <c r="C18" s="810">
        <f t="shared" ref="C18:T18" si="7">$A$18*C20</f>
        <v>56.25</v>
      </c>
      <c r="D18" s="810">
        <f t="shared" si="7"/>
        <v>75</v>
      </c>
      <c r="E18" s="810">
        <f t="shared" si="7"/>
        <v>93.75</v>
      </c>
      <c r="F18" s="810">
        <f t="shared" si="7"/>
        <v>112.5</v>
      </c>
      <c r="G18" s="810">
        <f t="shared" si="7"/>
        <v>131.25</v>
      </c>
      <c r="H18" s="810">
        <f t="shared" si="7"/>
        <v>150</v>
      </c>
      <c r="I18" s="810">
        <f t="shared" si="7"/>
        <v>168.75</v>
      </c>
      <c r="J18" s="810">
        <f t="shared" si="7"/>
        <v>187.5</v>
      </c>
      <c r="K18" s="810">
        <f t="shared" si="7"/>
        <v>206.25</v>
      </c>
      <c r="L18" s="810">
        <f t="shared" si="7"/>
        <v>225</v>
      </c>
      <c r="M18" s="810">
        <f t="shared" si="7"/>
        <v>243.75</v>
      </c>
      <c r="N18" s="810">
        <f t="shared" si="7"/>
        <v>262.5</v>
      </c>
      <c r="O18" s="810">
        <f t="shared" si="7"/>
        <v>281.25</v>
      </c>
      <c r="P18" s="810">
        <f t="shared" si="7"/>
        <v>300</v>
      </c>
      <c r="Q18" s="810">
        <f t="shared" si="7"/>
        <v>318.75</v>
      </c>
      <c r="R18" s="810">
        <f t="shared" si="7"/>
        <v>337.5</v>
      </c>
      <c r="S18" s="810">
        <f t="shared" si="7"/>
        <v>356.25</v>
      </c>
      <c r="T18" s="835">
        <f t="shared" si="7"/>
        <v>375</v>
      </c>
    </row>
    <row r="19" spans="1:20" ht="15.75">
      <c r="A19" s="834">
        <f>ROUNDUP(A18,0)</f>
        <v>19</v>
      </c>
      <c r="B19" s="810">
        <f t="shared" ref="B19:T19" si="8">ROUNDUP(B18,0)</f>
        <v>38</v>
      </c>
      <c r="C19" s="810">
        <f t="shared" si="8"/>
        <v>57</v>
      </c>
      <c r="D19" s="810">
        <f t="shared" si="8"/>
        <v>75</v>
      </c>
      <c r="E19" s="810">
        <f t="shared" si="8"/>
        <v>94</v>
      </c>
      <c r="F19" s="810">
        <f t="shared" si="8"/>
        <v>113</v>
      </c>
      <c r="G19" s="810">
        <f t="shared" si="8"/>
        <v>132</v>
      </c>
      <c r="H19" s="810">
        <f t="shared" si="8"/>
        <v>150</v>
      </c>
      <c r="I19" s="810">
        <f t="shared" si="8"/>
        <v>169</v>
      </c>
      <c r="J19" s="810">
        <f t="shared" si="8"/>
        <v>188</v>
      </c>
      <c r="K19" s="810">
        <f t="shared" si="8"/>
        <v>207</v>
      </c>
      <c r="L19" s="810">
        <f t="shared" si="8"/>
        <v>225</v>
      </c>
      <c r="M19" s="810">
        <f t="shared" si="8"/>
        <v>244</v>
      </c>
      <c r="N19" s="810">
        <f t="shared" si="8"/>
        <v>263</v>
      </c>
      <c r="O19" s="810">
        <f t="shared" si="8"/>
        <v>282</v>
      </c>
      <c r="P19" s="810">
        <f t="shared" si="8"/>
        <v>300</v>
      </c>
      <c r="Q19" s="810">
        <f t="shared" si="8"/>
        <v>319</v>
      </c>
      <c r="R19" s="810">
        <f t="shared" si="8"/>
        <v>338</v>
      </c>
      <c r="S19" s="810">
        <f t="shared" si="8"/>
        <v>357</v>
      </c>
      <c r="T19" s="835">
        <f t="shared" si="8"/>
        <v>375</v>
      </c>
    </row>
    <row r="20" spans="1:20" ht="15.75">
      <c r="A20" s="836">
        <v>1</v>
      </c>
      <c r="B20" s="837">
        <f>A20+1</f>
        <v>2</v>
      </c>
      <c r="C20" s="837">
        <f t="shared" ref="C20" si="9">B20+1</f>
        <v>3</v>
      </c>
      <c r="D20" s="837">
        <f t="shared" ref="D20" si="10">C20+1</f>
        <v>4</v>
      </c>
      <c r="E20" s="837">
        <f t="shared" ref="E20" si="11">D20+1</f>
        <v>5</v>
      </c>
      <c r="F20" s="837">
        <f t="shared" ref="F20" si="12">E20+1</f>
        <v>6</v>
      </c>
      <c r="G20" s="837">
        <f t="shared" ref="G20" si="13">F20+1</f>
        <v>7</v>
      </c>
      <c r="H20" s="837">
        <f t="shared" ref="H20" si="14">G20+1</f>
        <v>8</v>
      </c>
      <c r="I20" s="837">
        <f t="shared" ref="I20" si="15">H20+1</f>
        <v>9</v>
      </c>
      <c r="J20" s="837">
        <f t="shared" ref="J20" si="16">I20+1</f>
        <v>10</v>
      </c>
      <c r="K20" s="837">
        <f t="shared" ref="K20" si="17">J20+1</f>
        <v>11</v>
      </c>
      <c r="L20" s="837">
        <f t="shared" ref="L20" si="18">K20+1</f>
        <v>12</v>
      </c>
      <c r="M20" s="837">
        <f t="shared" ref="M20" si="19">L20+1</f>
        <v>13</v>
      </c>
      <c r="N20" s="837">
        <f t="shared" ref="N20" si="20">M20+1</f>
        <v>14</v>
      </c>
      <c r="O20" s="837">
        <f t="shared" ref="O20" si="21">N20+1</f>
        <v>15</v>
      </c>
      <c r="P20" s="837">
        <f t="shared" ref="P20" si="22">O20+1</f>
        <v>16</v>
      </c>
      <c r="Q20" s="837">
        <f t="shared" ref="Q20" si="23">P20+1</f>
        <v>17</v>
      </c>
      <c r="R20" s="837">
        <f t="shared" ref="R20" si="24">Q20+1</f>
        <v>18</v>
      </c>
      <c r="S20" s="837">
        <f t="shared" ref="S20" si="25">R20+1</f>
        <v>19</v>
      </c>
      <c r="T20" s="838">
        <f t="shared" ref="T20" si="26">S20+1</f>
        <v>20</v>
      </c>
    </row>
  </sheetData>
  <mergeCells count="2">
    <mergeCell ref="A11:T11"/>
    <mergeCell ref="A17:T17"/>
  </mergeCells>
  <pageMargins left="0.7" right="0.7" top="0.75" bottom="0.75" header="0.3" footer="0.3"/>
  <pageSetup scale="66"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5"/>
  <dimension ref="A1:D44"/>
  <sheetViews>
    <sheetView showGridLines="0" rightToLeft="1" view="pageBreakPreview" zoomScale="85" zoomScaleNormal="115" zoomScaleSheetLayoutView="85" workbookViewId="0">
      <selection sqref="A1:D1"/>
    </sheetView>
  </sheetViews>
  <sheetFormatPr defaultColWidth="9.140625" defaultRowHeight="15"/>
  <cols>
    <col min="1" max="1" width="39.7109375" style="612" customWidth="1"/>
    <col min="2" max="2" width="30.140625" style="612" bestFit="1" customWidth="1"/>
    <col min="3" max="3" width="39.7109375" style="612" customWidth="1"/>
    <col min="4" max="4" width="32" style="612" bestFit="1" customWidth="1"/>
    <col min="5" max="16384" width="9.140625" style="612"/>
  </cols>
  <sheetData>
    <row r="1" spans="1:4" ht="24.95" customHeight="1">
      <c r="A1" s="1574" t="s">
        <v>743</v>
      </c>
      <c r="B1" s="1574"/>
      <c r="C1" s="1574"/>
      <c r="D1" s="1574"/>
    </row>
    <row r="2" spans="1:4" ht="24.95" customHeight="1">
      <c r="A2" s="1574" t="s">
        <v>744</v>
      </c>
      <c r="B2" s="1574"/>
      <c r="C2" s="1574"/>
      <c r="D2" s="1574"/>
    </row>
    <row r="3" spans="1:4" ht="15" customHeight="1">
      <c r="A3" s="785"/>
      <c r="B3" s="819"/>
      <c r="C3" s="819"/>
      <c r="D3" s="819"/>
    </row>
    <row r="4" spans="1:4" ht="24.95" customHeight="1">
      <c r="A4" s="1687" t="str">
        <f>"1.1 رقم عقد التأجير: "&amp;'مدخلات العقود'!$J$14</f>
        <v xml:space="preserve">1.1 رقم عقد التأجير: </v>
      </c>
      <c r="B4" s="1687"/>
      <c r="C4" s="1687" t="str">
        <f>"1.2 تاريخ عقد التأجير: "&amp;TEXT('مدخلات العقود'!$J$15,"dd/mm/yyyy")</f>
        <v>1.2 تاريخ عقد التأجير: 00/01/1900</v>
      </c>
      <c r="D4" s="1687"/>
    </row>
    <row r="5" spans="1:4" ht="50.1" customHeight="1">
      <c r="A5" s="1687" t="s">
        <v>1118</v>
      </c>
      <c r="B5" s="1687"/>
      <c r="C5" s="1688"/>
      <c r="D5" s="1688"/>
    </row>
    <row r="6" spans="1:4" ht="15" customHeight="1">
      <c r="A6" s="820"/>
      <c r="B6" s="821"/>
      <c r="C6" s="821"/>
      <c r="D6" s="821"/>
    </row>
    <row r="7" spans="1:4" ht="24.95" customHeight="1">
      <c r="A7" s="1584" t="s">
        <v>745</v>
      </c>
      <c r="B7" s="1584"/>
      <c r="C7" s="1584"/>
      <c r="D7" s="1584"/>
    </row>
    <row r="8" spans="1:4" ht="50.1" customHeight="1">
      <c r="A8" s="1689" t="s">
        <v>746</v>
      </c>
      <c r="B8" s="1689"/>
      <c r="C8" s="1689"/>
      <c r="D8" s="1689"/>
    </row>
    <row r="9" spans="1:4" ht="50.1" customHeight="1">
      <c r="A9" s="1690" t="s">
        <v>1220</v>
      </c>
      <c r="B9" s="1690"/>
      <c r="C9" s="1690"/>
      <c r="D9" s="1690"/>
    </row>
    <row r="10" spans="1:4" ht="24.95" customHeight="1">
      <c r="A10" s="1546" t="s">
        <v>1156</v>
      </c>
      <c r="B10" s="1546"/>
      <c r="C10" s="1546"/>
      <c r="D10" s="1546"/>
    </row>
    <row r="11" spans="1:4" ht="24.95" customHeight="1">
      <c r="A11" s="1691" t="s">
        <v>1293</v>
      </c>
      <c r="B11" s="1691"/>
      <c r="C11" s="1691"/>
      <c r="D11" s="1691"/>
    </row>
    <row r="12" spans="1:4" ht="60" customHeight="1">
      <c r="A12" s="1584" t="str">
        <f>"السيد/ السيدة: "&amp;'مدخلات العقود'!$B$2&amp;"، حامل هوية رقم: "&amp;'مدخلات العقود'!$D$2&amp;"، والصادرة في: "&amp;'مدخلات العقود'!$F$2&amp;"، بتاريخ: "&amp;TEXT('مدخلات العقود'!$H$2,"dd/mm/yyyy")&amp;"، وعنوانة لغايات التبليغ: "&amp;'مدخلات العقود'!$J$2&amp;"، ورقم هاتفه: "&amp;'مدخلات العقود'!$L$2</f>
        <v>السيد/ السيدة: 0، حامل هوية رقم: 0، والصادرة في: ، بتاريخ: 00/01/1900، وعنوانة لغايات التبليغ:  -  -  - ، ورقم هاتفه: 0</v>
      </c>
      <c r="B12" s="1584"/>
      <c r="C12" s="1584"/>
      <c r="D12" s="1584"/>
    </row>
    <row r="13" spans="1:4" ht="30" customHeight="1">
      <c r="A13" s="1692" t="s">
        <v>747</v>
      </c>
      <c r="B13" s="1692"/>
      <c r="C13" s="1692"/>
      <c r="D13" s="1692"/>
    </row>
    <row r="14" spans="1:4" ht="50.1" customHeight="1">
      <c r="A14" s="1689" t="str">
        <f>'مدخلات العقود'!$B$9&amp;"، ورقم تسجيل/ حامل هوية رقم "&amp; 'مدخلات العقود'!$D$9&amp;"، الصادرة في "&amp;'مدخلات العقود'!$F$9&amp;"، بتاريخ "&amp;TEXT('مدخلات العقود'!$H$9,"dd/mm/yyyy")&amp;"، وعنوانة لغايات التبليغ "&amp;'مدخلات العقود'!$J$9&amp;"، ورقم هاتفه "&amp;'مدخلات العقود'!$L$9</f>
        <v>0، ورقم تسجيل/ حامل هوية رقم 0، الصادرة في ، بتاريخ 00/01/1900، وعنوانة لغايات التبليغ رام الله، ورقم هاتفه 0</v>
      </c>
      <c r="B14" s="1689"/>
      <c r="C14" s="1689"/>
      <c r="D14" s="1689"/>
    </row>
    <row r="15" spans="1:4" ht="24.95" customHeight="1">
      <c r="A15" s="1690" t="s">
        <v>1157</v>
      </c>
      <c r="B15" s="1690"/>
      <c r="C15" s="1690"/>
      <c r="D15" s="1690"/>
    </row>
    <row r="16" spans="1:4" ht="50.1" customHeight="1">
      <c r="A16" s="1690" t="s">
        <v>1158</v>
      </c>
      <c r="B16" s="1690"/>
      <c r="C16" s="1690"/>
      <c r="D16" s="1690"/>
    </row>
    <row r="17" spans="1:4" ht="50.1" customHeight="1">
      <c r="A17" s="1690" t="s">
        <v>748</v>
      </c>
      <c r="B17" s="1690"/>
      <c r="C17" s="1690"/>
      <c r="D17" s="1690"/>
    </row>
    <row r="18" spans="1:4" ht="24.95" customHeight="1">
      <c r="A18" s="1689" t="s">
        <v>749</v>
      </c>
      <c r="B18" s="1689"/>
      <c r="C18" s="1689"/>
      <c r="D18" s="1689"/>
    </row>
    <row r="19" spans="1:4" ht="50.1" customHeight="1">
      <c r="A19" s="1690" t="s">
        <v>1119</v>
      </c>
      <c r="B19" s="1690"/>
      <c r="C19" s="1690"/>
      <c r="D19" s="1690"/>
    </row>
    <row r="20" spans="1:4" ht="207" customHeight="1">
      <c r="A20" s="1690" t="s">
        <v>1219</v>
      </c>
      <c r="B20" s="1690"/>
      <c r="C20" s="1690"/>
      <c r="D20" s="1690"/>
    </row>
    <row r="21" spans="1:4" ht="24.95" customHeight="1">
      <c r="A21" s="1689" t="s">
        <v>1159</v>
      </c>
      <c r="B21" s="1689"/>
      <c r="C21" s="1689"/>
      <c r="D21" s="1689"/>
    </row>
    <row r="22" spans="1:4">
      <c r="A22" s="780"/>
    </row>
    <row r="23" spans="1:4" ht="24.95" customHeight="1">
      <c r="A23" s="1574" t="s">
        <v>743</v>
      </c>
      <c r="B23" s="1574"/>
      <c r="C23" s="1574"/>
      <c r="D23" s="1574"/>
    </row>
    <row r="24" spans="1:4" ht="24.95" customHeight="1">
      <c r="A24" s="1574" t="s">
        <v>744</v>
      </c>
      <c r="B24" s="1574"/>
      <c r="C24" s="1574"/>
      <c r="D24" s="1574"/>
    </row>
    <row r="25" spans="1:4" ht="15" customHeight="1">
      <c r="A25" s="785"/>
      <c r="B25" s="819"/>
      <c r="C25" s="819"/>
      <c r="D25" s="819"/>
    </row>
    <row r="26" spans="1:4" ht="24.95" customHeight="1">
      <c r="A26" s="1687" t="str">
        <f>"1.1 رقم عقد التأجير: "&amp;'مدخلات العقود'!$J$14</f>
        <v xml:space="preserve">1.1 رقم عقد التأجير: </v>
      </c>
      <c r="B26" s="1687"/>
      <c r="C26" s="1687" t="str">
        <f>"1.2 تاريخ عقد التأجير: "&amp;TEXT('مدخلات العقود'!$J$15,"dd/mm/yyyy")</f>
        <v>1.2 تاريخ عقد التأجير: 00/01/1900</v>
      </c>
      <c r="D26" s="1687"/>
    </row>
    <row r="27" spans="1:4" ht="50.1" customHeight="1">
      <c r="A27" s="1687" t="s">
        <v>1118</v>
      </c>
      <c r="B27" s="1687"/>
      <c r="C27" s="1688"/>
      <c r="D27" s="1688"/>
    </row>
    <row r="28" spans="1:4" ht="15" customHeight="1">
      <c r="A28" s="820"/>
      <c r="B28" s="821"/>
      <c r="C28" s="821"/>
      <c r="D28" s="821"/>
    </row>
    <row r="29" spans="1:4" ht="24.95" customHeight="1">
      <c r="A29" s="1584" t="s">
        <v>745</v>
      </c>
      <c r="B29" s="1584"/>
      <c r="C29" s="1584"/>
      <c r="D29" s="1584"/>
    </row>
    <row r="30" spans="1:4" ht="50.1" customHeight="1">
      <c r="A30" s="1689" t="s">
        <v>746</v>
      </c>
      <c r="B30" s="1689"/>
      <c r="C30" s="1689"/>
      <c r="D30" s="1689"/>
    </row>
    <row r="31" spans="1:4" ht="50.1" customHeight="1">
      <c r="A31" s="1690" t="s">
        <v>1155</v>
      </c>
      <c r="B31" s="1690"/>
      <c r="C31" s="1690"/>
      <c r="D31" s="1690"/>
    </row>
    <row r="32" spans="1:4" ht="24.95" customHeight="1">
      <c r="A32" s="1546" t="s">
        <v>1156</v>
      </c>
      <c r="B32" s="1546"/>
      <c r="C32" s="1546"/>
      <c r="D32" s="1546"/>
    </row>
    <row r="33" spans="1:4" ht="24.95" customHeight="1">
      <c r="A33" s="1691" t="s">
        <v>1293</v>
      </c>
      <c r="B33" s="1691"/>
      <c r="C33" s="1691"/>
      <c r="D33" s="1691"/>
    </row>
    <row r="34" spans="1:4" ht="60" customHeight="1">
      <c r="A34" s="1584" t="str">
        <f>"السيد/ السيدة: "&amp;'مدخلات العقود'!$B$2&amp;"، حامل هوية رقم: "&amp;'مدخلات العقود'!$D$2&amp;"، والصادرة في: "&amp;'مدخلات العقود'!$F$2&amp;"، بتاريخ: "&amp;TEXT('مدخلات العقود'!$H$2,"dd/mm/yyyy")&amp;"، وعنوانة لغايات التبليغ: "&amp;'مدخلات العقود'!$J$2&amp;"، ورقم هاتفه: "&amp;'مدخلات العقود'!$L$2</f>
        <v>السيد/ السيدة: 0، حامل هوية رقم: 0، والصادرة في: ، بتاريخ: 00/01/1900، وعنوانة لغايات التبليغ:  -  -  - ، ورقم هاتفه: 0</v>
      </c>
      <c r="B34" s="1584"/>
      <c r="C34" s="1584"/>
      <c r="D34" s="1584"/>
    </row>
    <row r="35" spans="1:4" ht="30" customHeight="1">
      <c r="A35" s="1692" t="s">
        <v>747</v>
      </c>
      <c r="B35" s="1692"/>
      <c r="C35" s="1692"/>
      <c r="D35" s="1692"/>
    </row>
    <row r="36" spans="1:4" ht="50.1" customHeight="1">
      <c r="A36" s="1689" t="str">
        <f>'مدخلات العقود'!$B$9&amp;"، ورقم تسجيل/ حامل هوية رقم "&amp; 'مدخلات العقود'!$D$9&amp;"، الصادرة في "&amp;'مدخلات العقود'!$F$9&amp;"، بتاريخ "&amp;TEXT('مدخلات العقود'!$H$9,"dd/mm/yyyy")&amp;"، وعنوانة لغايات التبليغ "&amp;'مدخلات العقود'!$J$9&amp;"، ورقم هاتفه "&amp;'مدخلات العقود'!$L$9</f>
        <v>0، ورقم تسجيل/ حامل هوية رقم 0، الصادرة في ، بتاريخ 00/01/1900، وعنوانة لغايات التبليغ رام الله، ورقم هاتفه 0</v>
      </c>
      <c r="B36" s="1689"/>
      <c r="C36" s="1689"/>
      <c r="D36" s="1689"/>
    </row>
    <row r="37" spans="1:4" ht="24.95" customHeight="1">
      <c r="A37" s="1690" t="s">
        <v>1157</v>
      </c>
      <c r="B37" s="1690"/>
      <c r="C37" s="1690"/>
      <c r="D37" s="1690"/>
    </row>
    <row r="38" spans="1:4" ht="50.1" customHeight="1">
      <c r="A38" s="1690" t="s">
        <v>1158</v>
      </c>
      <c r="B38" s="1690"/>
      <c r="C38" s="1690"/>
      <c r="D38" s="1690"/>
    </row>
    <row r="39" spans="1:4" ht="50.1" customHeight="1">
      <c r="A39" s="1690" t="s">
        <v>748</v>
      </c>
      <c r="B39" s="1690"/>
      <c r="C39" s="1690"/>
      <c r="D39" s="1690"/>
    </row>
    <row r="40" spans="1:4" ht="24.95" customHeight="1">
      <c r="A40" s="1689" t="s">
        <v>749</v>
      </c>
      <c r="B40" s="1689"/>
      <c r="C40" s="1689"/>
      <c r="D40" s="1689"/>
    </row>
    <row r="41" spans="1:4" ht="50.1" customHeight="1">
      <c r="A41" s="1690" t="s">
        <v>1119</v>
      </c>
      <c r="B41" s="1690"/>
      <c r="C41" s="1690"/>
      <c r="D41" s="1690"/>
    </row>
    <row r="42" spans="1:4" ht="207" customHeight="1">
      <c r="A42" s="1690" t="s">
        <v>1219</v>
      </c>
      <c r="B42" s="1690"/>
      <c r="C42" s="1690"/>
      <c r="D42" s="1690"/>
    </row>
    <row r="43" spans="1:4" ht="24.95" customHeight="1">
      <c r="A43" s="1689" t="s">
        <v>1159</v>
      </c>
      <c r="B43" s="1689"/>
      <c r="C43" s="1689"/>
      <c r="D43" s="1689"/>
    </row>
    <row r="44" spans="1:4">
      <c r="A44" s="780"/>
    </row>
  </sheetData>
  <mergeCells count="42">
    <mergeCell ref="A39:D39"/>
    <mergeCell ref="A40:D40"/>
    <mergeCell ref="A41:D41"/>
    <mergeCell ref="A42:D42"/>
    <mergeCell ref="A43:D43"/>
    <mergeCell ref="A38:D38"/>
    <mergeCell ref="A27:B27"/>
    <mergeCell ref="C27:D27"/>
    <mergeCell ref="A29:D29"/>
    <mergeCell ref="A30:D30"/>
    <mergeCell ref="A31:D31"/>
    <mergeCell ref="A32:D32"/>
    <mergeCell ref="A33:D33"/>
    <mergeCell ref="A34:D34"/>
    <mergeCell ref="A35:D35"/>
    <mergeCell ref="A36:D36"/>
    <mergeCell ref="A37:D37"/>
    <mergeCell ref="A26:B26"/>
    <mergeCell ref="C26:D26"/>
    <mergeCell ref="A13:D13"/>
    <mergeCell ref="A14:D14"/>
    <mergeCell ref="A15:D15"/>
    <mergeCell ref="A16:D16"/>
    <mergeCell ref="A17:D17"/>
    <mergeCell ref="A18:D18"/>
    <mergeCell ref="A19:D19"/>
    <mergeCell ref="A20:D20"/>
    <mergeCell ref="A21:D21"/>
    <mergeCell ref="A23:D23"/>
    <mergeCell ref="A24:D24"/>
    <mergeCell ref="A12:D12"/>
    <mergeCell ref="A1:D1"/>
    <mergeCell ref="A2:D2"/>
    <mergeCell ref="A4:B4"/>
    <mergeCell ref="C4:D4"/>
    <mergeCell ref="A5:B5"/>
    <mergeCell ref="C5:D5"/>
    <mergeCell ref="A7:D7"/>
    <mergeCell ref="A8:D8"/>
    <mergeCell ref="A9:D9"/>
    <mergeCell ref="A10:D10"/>
    <mergeCell ref="A11:D11"/>
  </mergeCells>
  <pageMargins left="0.7" right="0.7" top="0.75" bottom="0.75" header="0.3" footer="0.3"/>
  <pageSetup scale="63" fitToWidth="50" fitToHeight="50" orientation="portrait" r:id="rId1"/>
  <headerFooter>
    <oddFooter>&amp;L&amp;"-,Bold"&amp;14المورد&amp;"-,Regular"&amp;11
__________________________&amp;C&amp;"-,Bold"&amp;14الفريق الثاني (المستأجر)&amp;"-,Regular"
___________________________&amp;R&amp;"-,Bold"&amp;14الفريق الاول (شركة الاجارة الفلسطينية)&amp;"-,Regular"
____________________________</oddFooter>
  </headerFooter>
  <rowBreaks count="1" manualBreakCount="1">
    <brk id="22" max="3" man="1"/>
  </rowBreaks>
  <colBreaks count="1" manualBreakCount="1">
    <brk id="4" max="1048575" man="1"/>
  </col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F16"/>
  <sheetViews>
    <sheetView rightToLeft="1" topLeftCell="A10" zoomScaleNormal="100" workbookViewId="0">
      <selection activeCell="A6" sqref="A6:XFD6"/>
    </sheetView>
  </sheetViews>
  <sheetFormatPr defaultColWidth="9.140625" defaultRowHeight="30"/>
  <cols>
    <col min="1" max="1" width="88.42578125" style="953" customWidth="1"/>
    <col min="2" max="16384" width="9.140625" style="952"/>
  </cols>
  <sheetData>
    <row r="1" spans="1:6">
      <c r="A1" s="877" t="str">
        <f>"التاريخ: "&amp;TEXT('مدخلات العقود'!$J$15,"dd/mm/yyyy")</f>
        <v>التاريخ: 00/01/1900</v>
      </c>
      <c r="B1" s="949"/>
      <c r="D1" s="950"/>
      <c r="E1" s="951"/>
      <c r="F1" s="951"/>
    </row>
    <row r="2" spans="1:6">
      <c r="A2" s="877" t="s">
        <v>1302</v>
      </c>
      <c r="B2" s="950"/>
      <c r="C2" s="950"/>
    </row>
    <row r="3" spans="1:6">
      <c r="A3" s="877" t="s">
        <v>1303</v>
      </c>
      <c r="B3" s="950"/>
      <c r="C3" s="950"/>
    </row>
    <row r="4" spans="1:6">
      <c r="A4" s="877" t="s">
        <v>1298</v>
      </c>
      <c r="B4" s="950"/>
      <c r="C4" s="950"/>
    </row>
    <row r="5" spans="1:6">
      <c r="A5" s="953" t="s">
        <v>1304</v>
      </c>
      <c r="B5" s="950"/>
      <c r="C5" s="950"/>
    </row>
    <row r="6" spans="1:6" ht="25.5" hidden="1" customHeight="1">
      <c r="B6" s="949"/>
      <c r="C6" s="950"/>
    </row>
    <row r="7" spans="1:6" ht="37.5" customHeight="1">
      <c r="A7" s="956" t="str">
        <f>"الموضوع: طلب دفتر شيكات للسيد/ة/السادة "&amp;'مدخلات العقود'!$B$2</f>
        <v>الموضوع: طلب دفتر شيكات للسيد/ة/السادة 0</v>
      </c>
      <c r="C7" s="954"/>
      <c r="D7" s="954"/>
      <c r="E7" s="954"/>
      <c r="F7" s="954"/>
    </row>
    <row r="8" spans="1:6" ht="90">
      <c r="A8" s="825" t="s">
        <v>1301</v>
      </c>
    </row>
    <row r="9" spans="1:6" ht="90">
      <c r="A9" s="825" t="str">
        <f>"يرجى التكرم بالعلم إلى أنه قد تمت الموافقة المبدئية على منح السيد/ة/السادة "&amp;'مدخلات العقود'!$B$2&amp;" تأجيراً تمويلياً منتهياً بالتمليك ومتوافق مع الشريعة، وذلك وفق شروط التأجير التمويلي المتبعة لدينا، ومن أبرز هذه الشروط:"</f>
        <v>يرجى التكرم بالعلم إلى أنه قد تمت الموافقة المبدئية على منح السيد/ة/السادة 0 تأجيراً تمويلياً منتهياً بالتمليك ومتوافق مع الشريعة، وذلك وفق شروط التأجير التمويلي المتبعة لدينا، ومن أبرز هذه الشروط:</v>
      </c>
    </row>
    <row r="10" spans="1:6">
      <c r="A10" s="825" t="str">
        <f>"1. الغاية: تمويل "&amp;التوصية!$D$244&amp;"."</f>
        <v>1. الغاية: تمويل مركبة خاصة (مستورد).</v>
      </c>
    </row>
    <row r="11" spans="1:6">
      <c r="A11" s="825" t="str">
        <f>"2. فترة السداد: بواقع "&amp;التوصية!$D$283&amp;" قسط شهري."</f>
        <v>2. فترة السداد: بواقع 48 قسط شهري.</v>
      </c>
    </row>
    <row r="12" spans="1:6" ht="60">
      <c r="A12" s="825" t="str">
        <f>"وعليه نرجو التكرم بإصدار دفاتر شيكات بعملة "&amp;FC&amp;" عدد "&amp;التوصية!$D$283&amp;" ورقة للسيد/ة/السادة "&amp;'مدخلات العقود'!$B$2&amp;"، حامل  هوية/ رقم تسجيل "&amp;'مدخلات العقود'!$D$2&amp;"."</f>
        <v>وعليه نرجو التكرم بإصدار دفاتر شيكات بعملة دولار عدد 48 ورقة للسيد/ة/السادة 0، حامل  هوية/ رقم تسجيل 0.</v>
      </c>
    </row>
    <row r="13" spans="1:6" ht="60">
      <c r="A13" s="825" t="str">
        <f>"أعطي هذا الكتاب بناء على طلب السيد/ة/السادة "&amp;'مدخلات العقود'!$B$2&amp;"، دون أدنى مسؤولية على شركة الإجارة الفلسطينية أو أي من موظفيها."</f>
        <v>أعطي هذا الكتاب بناء على طلب السيد/ة/السادة 0، دون أدنى مسؤولية على شركة الإجارة الفلسطينية أو أي من موظفيها.</v>
      </c>
    </row>
    <row r="14" spans="1:6">
      <c r="A14" s="955" t="s">
        <v>1300</v>
      </c>
    </row>
    <row r="15" spans="1:6">
      <c r="A15" s="957" t="b">
        <f>IF('مدخلات العقود'!$G$14='بيانات للادخال'!$AD$2,"عادل الرمحي",IF('مدخلات العقود'!$G$14='بيانات للادخال'!$AD$3,"حامد طه"))</f>
        <v>0</v>
      </c>
    </row>
    <row r="16" spans="1:6">
      <c r="A16" s="957" t="b">
        <f>IF('مدخلات العقود'!$G$14='بيانات للادخال'!$AD$2,"المدير العام",IF('مدخلات العقود'!$G$14='بيانات للادخال'!$AD$3,"المدير المالي والإداري"))</f>
        <v>0</v>
      </c>
    </row>
  </sheetData>
  <pageMargins left="0.7" right="0.7" top="0.75" bottom="0.75" header="0.3" footer="0.3"/>
  <pageSetup orientation="portrait" r:id="rId1"/>
  <headerFooter>
    <oddHeader>&amp;L&amp;G</oddHeader>
    <oddFooter>&amp;C&amp;G</oddFooter>
  </headerFooter>
  <legacyDrawingHF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I63"/>
  <sheetViews>
    <sheetView rightToLeft="1" view="pageBreakPreview" topLeftCell="A22" zoomScaleNormal="100" zoomScaleSheetLayoutView="100" workbookViewId="0">
      <selection activeCell="A27" sqref="A27:I27"/>
    </sheetView>
  </sheetViews>
  <sheetFormatPr defaultRowHeight="15"/>
  <cols>
    <col min="1" max="9" width="9.140625" style="612"/>
  </cols>
  <sheetData>
    <row r="1" spans="1:9" ht="27.75">
      <c r="A1" s="1694" t="s">
        <v>1305</v>
      </c>
      <c r="B1" s="1694"/>
      <c r="C1" s="1694"/>
      <c r="D1" s="1694"/>
      <c r="E1" s="1694"/>
      <c r="F1" s="1694"/>
      <c r="G1" s="1694"/>
      <c r="H1" s="1694"/>
      <c r="I1" s="1694"/>
    </row>
    <row r="2" spans="1:9" ht="24.75">
      <c r="A2" s="1695" t="str">
        <f>"أبرم هذا العقد بتاريخ "&amp;TEXT('مدخلات العقود'!$J$15,"dd/mm/yyyy")&amp;"  بين كل من:"</f>
        <v>أبرم هذا العقد بتاريخ 00/01/1900  بين كل من:</v>
      </c>
      <c r="B2" s="1695"/>
      <c r="C2" s="1695"/>
      <c r="D2" s="1695"/>
      <c r="E2" s="1695"/>
      <c r="F2" s="1695"/>
      <c r="G2" s="1695"/>
      <c r="H2" s="1695"/>
      <c r="I2" s="1695"/>
    </row>
    <row r="3" spans="1:9" ht="75" customHeight="1">
      <c r="A3" s="1695" t="s">
        <v>1324</v>
      </c>
      <c r="B3" s="1695"/>
      <c r="C3" s="1695"/>
      <c r="D3" s="1695"/>
      <c r="E3" s="1695"/>
      <c r="F3" s="1695"/>
      <c r="G3" s="1695"/>
      <c r="H3" s="1695"/>
      <c r="I3" s="1695"/>
    </row>
    <row r="4" spans="1:9" ht="24.75">
      <c r="A4" s="1693" t="s">
        <v>1306</v>
      </c>
      <c r="B4" s="1693"/>
      <c r="C4" s="1693"/>
      <c r="D4" s="1693"/>
      <c r="E4" s="1693"/>
      <c r="F4" s="1693"/>
      <c r="G4" s="1693"/>
      <c r="H4" s="1693"/>
      <c r="I4" s="1693"/>
    </row>
    <row r="5" spans="1:9" ht="50.1" customHeight="1">
      <c r="A5" s="1696" t="str">
        <f>"الفريق الثاني: "&amp;'مدخلات العقود'!$B$9&amp;" المسجلة لدى مراقب الشركات تحت الرقم "&amp;"("&amp;'مدخلات العقود'!$D$9&amp;") ويمثلها المفوض بالتوقيع عنها السيد                                        ويشار إليه فيما يلي بــ 'المورد'. "</f>
        <v xml:space="preserve">الفريق الثاني: 0 المسجلة لدى مراقب الشركات تحت الرقم (0) ويمثلها المفوض بالتوقيع عنها السيد                                        ويشار إليه فيما يلي بــ 'المورد'. </v>
      </c>
      <c r="B5" s="1696"/>
      <c r="C5" s="1696"/>
      <c r="D5" s="1696"/>
      <c r="E5" s="1696"/>
      <c r="F5" s="1696"/>
      <c r="G5" s="1696"/>
      <c r="H5" s="1696"/>
      <c r="I5" s="1696"/>
    </row>
    <row r="6" spans="1:9" ht="24.75">
      <c r="A6" s="959" t="s">
        <v>1325</v>
      </c>
      <c r="B6" s="819"/>
      <c r="C6" s="819"/>
      <c r="D6" s="819"/>
      <c r="E6" s="819"/>
      <c r="F6" s="819"/>
      <c r="G6" s="819"/>
      <c r="H6" s="819"/>
      <c r="I6" s="819"/>
    </row>
    <row r="7" spans="1:9" ht="24.75">
      <c r="A7" s="960" t="s">
        <v>1307</v>
      </c>
      <c r="B7" s="819"/>
      <c r="C7" s="819"/>
      <c r="D7" s="819"/>
      <c r="E7" s="819"/>
      <c r="F7" s="819"/>
      <c r="G7" s="819"/>
      <c r="H7" s="819"/>
      <c r="I7" s="819"/>
    </row>
    <row r="8" spans="1:9" ht="174.95" customHeight="1">
      <c r="A8" s="1693" t="str">
        <f>"حيث أن الفريق الأول بنك اسلامي يعمل في مختلف الخدمات المصرفية والانشطة والبيوع والمعاملات وفقا لأحكام الشريعة الاسلامية الغراء, وغيرها من الأعمال الأخرى المتعلقة بها، وحيث أن الفريق الاول يرغب بشراء "&amp;التوصية!$D$244&amp;"والمشار اليها لاحقا بـ (التوريدات) بناء"&amp;" على طلب عميله السادة/ شركة الاجارة الفلسطينية ويشار اليه لاحقاً بـ(الآمر بالشراء) "&amp;"وحيث أن الفريق الثاني لديه القدرة لتلبية حاجة الفريق الاول من (التوريدات) "&amp;"مطلوبة وأبدى استعداده لتزويده وفقاَ للشروط والكميات والمواصفات المحددة في الملاحق المرفقة"&amp;" بهذه الاتفاقية والتي تعتبر جزء لا يتجزأ منها، فقد اتفق الفريقان بعد أن أقرا بأهليتهما الكاملة والخالية من العيوب الشرعية والقانونية على تنفيذ هذه الاتفاقية وفقا للشروط والأحكام التالية:"</f>
        <v>حيث أن الفريق الأول بنك اسلامي يعمل في مختلف الخدمات المصرفية والانشطة والبيوع والمعاملات وفقا لأحكام الشريعة الاسلامية الغراء, وغيرها من الأعمال الأخرى المتعلقة بها، وحيث أن الفريق الاول يرغب بشراء مركبة خاصة (مستورد)والمشار اليها لاحقا بـ (التوريدات) بناء على طلب عميله السادة/ شركة الاجارة الفلسطينية ويشار اليه لاحقاً بـ(الآمر بالشراء) وحيث أن الفريق الثاني لديه القدرة لتلبية حاجة الفريق الاول من (التوريدات) مطلوبة وأبدى استعداده لتزويده وفقاَ للشروط والكميات والمواصفات المحددة في الملاحق المرفقة بهذه الاتفاقية والتي تعتبر جزء لا يتجزأ منها، فقد اتفق الفريقان بعد أن أقرا بأهليتهما الكاملة والخالية من العيوب الشرعية والقانونية على تنفيذ هذه الاتفاقية وفقا للشروط والأحكام التالية:</v>
      </c>
      <c r="B8" s="1693"/>
      <c r="C8" s="1693"/>
      <c r="D8" s="1693"/>
      <c r="E8" s="1693"/>
      <c r="F8" s="1693"/>
      <c r="G8" s="1693"/>
      <c r="H8" s="1693"/>
      <c r="I8" s="1693"/>
    </row>
    <row r="9" spans="1:9" ht="24.75">
      <c r="A9" s="1695" t="s">
        <v>1308</v>
      </c>
      <c r="B9" s="1695"/>
      <c r="C9" s="1695"/>
      <c r="D9" s="1695"/>
      <c r="E9" s="1695"/>
      <c r="F9" s="1695"/>
      <c r="G9" s="1695"/>
      <c r="H9" s="1695"/>
      <c r="I9" s="1695"/>
    </row>
    <row r="10" spans="1:9" ht="24.75">
      <c r="A10" s="1693" t="s">
        <v>1309</v>
      </c>
      <c r="B10" s="1693"/>
      <c r="C10" s="1693"/>
      <c r="D10" s="1693"/>
      <c r="E10" s="1693"/>
      <c r="F10" s="1693"/>
      <c r="G10" s="1693"/>
      <c r="H10" s="1693"/>
      <c r="I10" s="1693"/>
    </row>
    <row r="11" spans="1:9" ht="24.75">
      <c r="A11" s="1695" t="s">
        <v>1310</v>
      </c>
      <c r="B11" s="1695"/>
      <c r="C11" s="1695"/>
      <c r="D11" s="1695"/>
      <c r="E11" s="1695"/>
      <c r="F11" s="1695"/>
      <c r="G11" s="1695"/>
      <c r="H11" s="1695"/>
      <c r="I11" s="1695"/>
    </row>
    <row r="12" spans="1:9" ht="24.75">
      <c r="A12" s="1693" t="s">
        <v>1326</v>
      </c>
      <c r="B12" s="1693"/>
      <c r="C12" s="1693"/>
      <c r="D12" s="1693"/>
      <c r="E12" s="1693"/>
      <c r="F12" s="1693"/>
      <c r="G12" s="1693"/>
      <c r="H12" s="1693"/>
      <c r="I12" s="1693"/>
    </row>
    <row r="13" spans="1:9" ht="24.75">
      <c r="A13" s="1693" t="s">
        <v>1327</v>
      </c>
      <c r="B13" s="1693"/>
      <c r="C13" s="1693"/>
      <c r="D13" s="1693"/>
      <c r="E13" s="1693"/>
      <c r="F13" s="1693"/>
      <c r="G13" s="1693"/>
      <c r="H13" s="1693"/>
      <c r="I13" s="1693"/>
    </row>
    <row r="14" spans="1:9" ht="24.75">
      <c r="A14" s="1693" t="s">
        <v>1328</v>
      </c>
      <c r="B14" s="1693"/>
      <c r="C14" s="1693"/>
      <c r="D14" s="1693"/>
      <c r="E14" s="1693"/>
      <c r="F14" s="1693"/>
      <c r="G14" s="1693"/>
      <c r="H14" s="1693"/>
      <c r="I14" s="1693"/>
    </row>
    <row r="15" spans="1:9" ht="24.75">
      <c r="A15" s="1695" t="s">
        <v>1311</v>
      </c>
      <c r="B15" s="1695"/>
      <c r="C15" s="1695"/>
      <c r="D15" s="1695"/>
      <c r="E15" s="1695"/>
      <c r="F15" s="1695"/>
      <c r="G15" s="1695"/>
      <c r="H15" s="1695"/>
      <c r="I15" s="1695"/>
    </row>
    <row r="16" spans="1:9" ht="75" customHeight="1">
      <c r="A16" s="1693" t="str">
        <f>"يتمثل موضوع هذه الاتفاقية بقيام الفريق الثاني بتوريد "&amp;التوصية!$D$244&amp;"بالشروط والمواصفات والكميات المتفق عليها والمحددة في ملاحق هذه الاتفاقية والموقعة من الفريقين وكافة الأعمال اللازمة لتحقيق الغاية من هذه الاتفاقية مقابل مقابل تنفيذ كل فريق التزامته."</f>
        <v>يتمثل موضوع هذه الاتفاقية بقيام الفريق الثاني بتوريد مركبة خاصة (مستورد)بالشروط والمواصفات والكميات المتفق عليها والمحددة في ملاحق هذه الاتفاقية والموقعة من الفريقين وكافة الأعمال اللازمة لتحقيق الغاية من هذه الاتفاقية مقابل مقابل تنفيذ كل فريق التزامته.</v>
      </c>
      <c r="B16" s="1693"/>
      <c r="C16" s="1693"/>
      <c r="D16" s="1693"/>
      <c r="E16" s="1693"/>
      <c r="F16" s="1693"/>
      <c r="G16" s="1693"/>
      <c r="H16" s="1693"/>
      <c r="I16" s="1693"/>
    </row>
    <row r="17" spans="1:9" ht="24.75">
      <c r="A17" s="1695" t="s">
        <v>1312</v>
      </c>
      <c r="B17" s="1695"/>
      <c r="C17" s="1695"/>
      <c r="D17" s="1695"/>
      <c r="E17" s="1695"/>
      <c r="F17" s="1695"/>
      <c r="G17" s="1695"/>
      <c r="H17" s="1695"/>
      <c r="I17" s="1695"/>
    </row>
    <row r="18" spans="1:9" ht="50.1" customHeight="1">
      <c r="A18" s="1693" t="s">
        <v>1329</v>
      </c>
      <c r="B18" s="1693"/>
      <c r="C18" s="1693"/>
      <c r="D18" s="1693"/>
      <c r="E18" s="1693"/>
      <c r="F18" s="1693"/>
      <c r="G18" s="1693"/>
      <c r="H18" s="1693"/>
      <c r="I18" s="1693"/>
    </row>
    <row r="19" spans="1:9" ht="24.75">
      <c r="A19" s="1695" t="s">
        <v>1341</v>
      </c>
      <c r="B19" s="1695"/>
      <c r="C19" s="1695"/>
      <c r="D19" s="1695"/>
      <c r="E19" s="1695"/>
      <c r="F19" s="1695"/>
      <c r="G19" s="1695"/>
      <c r="H19" s="1695"/>
      <c r="I19" s="1695"/>
    </row>
    <row r="20" spans="1:9" ht="24.75">
      <c r="A20" s="1693" t="s">
        <v>1313</v>
      </c>
      <c r="B20" s="1693"/>
      <c r="C20" s="1693"/>
      <c r="D20" s="1693"/>
      <c r="E20" s="1693"/>
      <c r="F20" s="1693"/>
      <c r="G20" s="1693"/>
      <c r="H20" s="1693"/>
      <c r="I20" s="1693"/>
    </row>
    <row r="21" spans="1:9" ht="50.1" customHeight="1">
      <c r="A21" s="1693" t="s">
        <v>1330</v>
      </c>
      <c r="B21" s="1693"/>
      <c r="C21" s="1693"/>
      <c r="D21" s="1693"/>
      <c r="E21" s="1693"/>
      <c r="F21" s="1693"/>
      <c r="G21" s="1693"/>
      <c r="H21" s="1693"/>
      <c r="I21" s="1693"/>
    </row>
    <row r="22" spans="1:9" ht="75" customHeight="1">
      <c r="A22" s="1693" t="s">
        <v>1335</v>
      </c>
      <c r="B22" s="1693"/>
      <c r="C22" s="1693"/>
      <c r="D22" s="1693"/>
      <c r="E22" s="1693"/>
      <c r="F22" s="1693"/>
      <c r="G22" s="1693"/>
      <c r="H22" s="1693"/>
      <c r="I22" s="1693"/>
    </row>
    <row r="23" spans="1:9" s="97" customFormat="1" ht="75" customHeight="1">
      <c r="A23" s="1693" t="s">
        <v>1336</v>
      </c>
      <c r="B23" s="1693"/>
      <c r="C23" s="1693"/>
      <c r="D23" s="1693"/>
      <c r="E23" s="1693"/>
      <c r="F23" s="1693"/>
      <c r="G23" s="1693"/>
      <c r="H23" s="1693"/>
      <c r="I23" s="1693"/>
    </row>
    <row r="24" spans="1:9" ht="24.75">
      <c r="A24" s="1693" t="s">
        <v>1337</v>
      </c>
      <c r="B24" s="1693"/>
      <c r="C24" s="1693"/>
      <c r="D24" s="1693"/>
      <c r="E24" s="1693"/>
      <c r="F24" s="1693"/>
      <c r="G24" s="1693"/>
      <c r="H24" s="1693"/>
      <c r="I24" s="1693"/>
    </row>
    <row r="25" spans="1:9" ht="24.75">
      <c r="A25" s="1697" t="s">
        <v>1338</v>
      </c>
      <c r="B25" s="1697"/>
      <c r="C25" s="1697"/>
      <c r="D25" s="1697"/>
      <c r="E25" s="1697"/>
      <c r="F25" s="1697"/>
      <c r="G25" s="1697"/>
      <c r="H25" s="1697"/>
      <c r="I25" s="1697"/>
    </row>
    <row r="26" spans="1:9" ht="24.75">
      <c r="A26" s="1695" t="s">
        <v>1314</v>
      </c>
      <c r="B26" s="1695"/>
      <c r="C26" s="1695"/>
      <c r="D26" s="1695"/>
      <c r="E26" s="1695"/>
      <c r="F26" s="1695"/>
      <c r="G26" s="1695"/>
      <c r="H26" s="1695"/>
      <c r="I26" s="1695"/>
    </row>
    <row r="27" spans="1:9" ht="75" customHeight="1">
      <c r="A27" s="1693" t="str">
        <f>"يلتزم الفريق الثاني بالمباشرة في اعمال التوريد اعتباراً من تاريخ "&amp;'مدخلات العقود'!$J$15&amp;" ويتعهد ويلتزم بانجاز واتمام كافة اعمال التوريد موضوع هذه الاتفاقية في موعد أقصاه سنه (365) يوماً من تاريخ مباشرة العمل المحدد أعلاه، بما لا يتجاوز تاريخ "&amp;TEXT('مدخلات العقود'!$J$15+365,"dd/mm/yyyy")&amp;" في أي حال من الاحوال."</f>
        <v>يلتزم الفريق الثاني بالمباشرة في اعمال التوريد اعتباراً من تاريخ  ويتعهد ويلتزم بانجاز واتمام كافة اعمال التوريد موضوع هذه الاتفاقية في موعد أقصاه سنه (365) يوماً من تاريخ مباشرة العمل المحدد أعلاه، بما لا يتجاوز تاريخ 30/12/1900 في أي حال من الاحوال.</v>
      </c>
      <c r="B27" s="1693"/>
      <c r="C27" s="1693"/>
      <c r="D27" s="1693"/>
      <c r="E27" s="1693"/>
      <c r="F27" s="1693"/>
      <c r="G27" s="1693"/>
      <c r="H27" s="1693"/>
      <c r="I27" s="1693"/>
    </row>
    <row r="28" spans="1:9" ht="24.75">
      <c r="A28" s="1695" t="s">
        <v>1315</v>
      </c>
      <c r="B28" s="1695"/>
      <c r="C28" s="1695"/>
      <c r="D28" s="1695"/>
      <c r="E28" s="1695"/>
      <c r="F28" s="1695"/>
      <c r="G28" s="1695"/>
      <c r="H28" s="1695"/>
      <c r="I28" s="1695"/>
    </row>
    <row r="29" spans="1:9" ht="50.1" customHeight="1">
      <c r="A29" s="1693" t="str">
        <f>"يقوم الفريق الأول بدفع مبلغ إجمالي وقدره "&amp;'مدخلات العقود'!$J$10&amp;" "&amp;FC&amp;" لصالح الفريق الثاني مقابل إلتزام الأخير بالقيام بكافة مهامه وإلتزاماته المحددة له في هذه الإتفاقية، بحيث يقوم الفريق الأول بدفعها للفريق الثاني على النحو التالي:"</f>
        <v>يقوم الفريق الأول بدفع مبلغ إجمالي وقدره 0 دولار لصالح الفريق الثاني مقابل إلتزام الأخير بالقيام بكافة مهامه وإلتزاماته المحددة له في هذه الإتفاقية، بحيث يقوم الفريق الأول بدفعها للفريق الثاني على النحو التالي:</v>
      </c>
      <c r="B29" s="1693"/>
      <c r="C29" s="1693"/>
      <c r="D29" s="1693"/>
      <c r="E29" s="1693"/>
      <c r="F29" s="1693"/>
      <c r="G29" s="1693"/>
      <c r="H29" s="1693"/>
      <c r="I29" s="1693"/>
    </row>
    <row r="30" spans="1:9" ht="24.75">
      <c r="A30" s="1695" t="s">
        <v>1316</v>
      </c>
      <c r="B30" s="1695"/>
      <c r="C30" s="1695"/>
      <c r="D30" s="1695"/>
      <c r="E30" s="1695"/>
      <c r="F30" s="1695"/>
      <c r="G30" s="1695"/>
      <c r="H30" s="1695"/>
      <c r="I30" s="1695"/>
    </row>
    <row r="31" spans="1:9" ht="24.75">
      <c r="A31" s="1693" t="s">
        <v>1317</v>
      </c>
      <c r="B31" s="1693"/>
      <c r="C31" s="1693"/>
      <c r="D31" s="1693"/>
      <c r="E31" s="1693"/>
      <c r="F31" s="1693"/>
      <c r="G31" s="1693"/>
      <c r="H31" s="1693"/>
      <c r="I31" s="1693"/>
    </row>
    <row r="32" spans="1:9" ht="24.75">
      <c r="A32" s="1695" t="s">
        <v>1318</v>
      </c>
      <c r="B32" s="1695"/>
      <c r="C32" s="1695"/>
      <c r="D32" s="1695"/>
      <c r="E32" s="1695"/>
      <c r="F32" s="1695"/>
      <c r="G32" s="1695"/>
      <c r="H32" s="1695"/>
      <c r="I32" s="1695"/>
    </row>
    <row r="33" spans="1:9" ht="75" customHeight="1">
      <c r="A33" s="1693" t="s">
        <v>1331</v>
      </c>
      <c r="B33" s="1693"/>
      <c r="C33" s="1693"/>
      <c r="D33" s="1693"/>
      <c r="E33" s="1693"/>
      <c r="F33" s="1693"/>
      <c r="G33" s="1693"/>
      <c r="H33" s="1693"/>
      <c r="I33" s="1693"/>
    </row>
    <row r="34" spans="1:9" ht="50.1" customHeight="1">
      <c r="A34" s="1693" t="s">
        <v>1332</v>
      </c>
      <c r="B34" s="1693"/>
      <c r="C34" s="1693"/>
      <c r="D34" s="1693"/>
      <c r="E34" s="1693"/>
      <c r="F34" s="1693"/>
      <c r="G34" s="1693"/>
      <c r="H34" s="1693"/>
      <c r="I34" s="1693"/>
    </row>
    <row r="35" spans="1:9" ht="75" customHeight="1">
      <c r="A35" s="1693" t="s">
        <v>1333</v>
      </c>
      <c r="B35" s="1693"/>
      <c r="C35" s="1693"/>
      <c r="D35" s="1693"/>
      <c r="E35" s="1693"/>
      <c r="F35" s="1693"/>
      <c r="G35" s="1693"/>
      <c r="H35" s="1693"/>
      <c r="I35" s="1693"/>
    </row>
    <row r="36" spans="1:9" ht="50.1" customHeight="1">
      <c r="A36" s="1693" t="s">
        <v>1334</v>
      </c>
      <c r="B36" s="1693"/>
      <c r="C36" s="1693"/>
      <c r="D36" s="1693"/>
      <c r="E36" s="1693"/>
      <c r="F36" s="1693"/>
      <c r="G36" s="1693"/>
      <c r="H36" s="1693"/>
      <c r="I36" s="1693"/>
    </row>
    <row r="37" spans="1:9" ht="75" customHeight="1">
      <c r="A37" s="1693" t="s">
        <v>1340</v>
      </c>
      <c r="B37" s="1693"/>
      <c r="C37" s="1693"/>
      <c r="D37" s="1693"/>
      <c r="E37" s="1693"/>
      <c r="F37" s="1693"/>
      <c r="G37" s="1693"/>
      <c r="H37" s="1693"/>
      <c r="I37" s="1693"/>
    </row>
    <row r="38" spans="1:9" ht="50.1" customHeight="1">
      <c r="A38" s="1693" t="s">
        <v>1339</v>
      </c>
      <c r="B38" s="1693"/>
      <c r="C38" s="1693"/>
      <c r="D38" s="1693"/>
      <c r="E38" s="1693"/>
      <c r="F38" s="1693"/>
      <c r="G38" s="1693"/>
      <c r="H38" s="1693"/>
      <c r="I38" s="1693"/>
    </row>
    <row r="39" spans="1:9" ht="24.75">
      <c r="A39" s="962"/>
      <c r="B39" s="963"/>
      <c r="C39" s="963"/>
      <c r="D39" s="963"/>
      <c r="E39" s="963"/>
      <c r="F39" s="963"/>
      <c r="G39" s="963"/>
      <c r="H39" s="963"/>
      <c r="I39" s="963"/>
    </row>
    <row r="40" spans="1:9" ht="16.5" customHeight="1">
      <c r="A40" s="1698" t="s">
        <v>1533</v>
      </c>
      <c r="B40" s="1698"/>
      <c r="C40" s="1698"/>
      <c r="D40" s="1698"/>
      <c r="E40" s="1698"/>
      <c r="F40" s="1698"/>
      <c r="G40" s="1698"/>
      <c r="H40" s="1698"/>
      <c r="I40" s="1698"/>
    </row>
    <row r="41" spans="1:9" ht="25.5" customHeight="1">
      <c r="A41" s="1698" t="str">
        <f>"الاسم: البنك الاسلامي العربي                                الاسم: "&amp;'مدخلات العقود'!$B$9</f>
        <v>الاسم: البنك الاسلامي العربي                                الاسم: 0</v>
      </c>
      <c r="B41" s="1698"/>
      <c r="C41" s="1698"/>
      <c r="D41" s="1698"/>
      <c r="E41" s="1698"/>
      <c r="F41" s="1698"/>
      <c r="G41" s="1698"/>
      <c r="H41" s="1698"/>
      <c r="I41" s="1698"/>
    </row>
    <row r="42" spans="1:9" ht="25.5" customHeight="1">
      <c r="A42" s="1698" t="s">
        <v>1534</v>
      </c>
      <c r="B42" s="1698"/>
      <c r="C42" s="1698"/>
      <c r="D42" s="1698"/>
      <c r="E42" s="1698"/>
      <c r="F42" s="1698"/>
      <c r="G42" s="1698"/>
      <c r="H42" s="1698"/>
      <c r="I42" s="1698"/>
    </row>
    <row r="43" spans="1:9" ht="25.5">
      <c r="A43" s="961"/>
    </row>
    <row r="44" spans="1:9" ht="25.5">
      <c r="A44" s="961"/>
    </row>
    <row r="45" spans="1:9" ht="25.5">
      <c r="A45" s="961"/>
    </row>
    <row r="46" spans="1:9" ht="25.5">
      <c r="A46" s="961"/>
    </row>
    <row r="47" spans="1:9" ht="25.5">
      <c r="A47" s="961"/>
    </row>
    <row r="48" spans="1:9" ht="25.5">
      <c r="A48" s="961"/>
    </row>
    <row r="49" spans="1:1" ht="25.5">
      <c r="A49" s="961"/>
    </row>
    <row r="50" spans="1:1" ht="25.5">
      <c r="A50" s="961"/>
    </row>
    <row r="51" spans="1:1" ht="25.5">
      <c r="A51" s="961"/>
    </row>
    <row r="52" spans="1:1" ht="25.5">
      <c r="A52" s="961"/>
    </row>
    <row r="53" spans="1:1" ht="25.5">
      <c r="A53" s="961"/>
    </row>
    <row r="54" spans="1:1" ht="25.5">
      <c r="A54" s="961"/>
    </row>
    <row r="55" spans="1:1" ht="25.5">
      <c r="A55" s="961"/>
    </row>
    <row r="56" spans="1:1" ht="25.5">
      <c r="A56" s="961"/>
    </row>
    <row r="57" spans="1:1" ht="25.5">
      <c r="A57" s="961"/>
    </row>
    <row r="58" spans="1:1" ht="25.5">
      <c r="A58" s="961"/>
    </row>
    <row r="59" spans="1:1" ht="25.5">
      <c r="A59" s="961"/>
    </row>
    <row r="60" spans="1:1" ht="25.5">
      <c r="A60" s="961"/>
    </row>
    <row r="61" spans="1:1" ht="25.5">
      <c r="A61" s="961"/>
    </row>
    <row r="62" spans="1:1" ht="25.5">
      <c r="A62" s="961"/>
    </row>
    <row r="63" spans="1:1" ht="15.75">
      <c r="A63" s="868" t="s">
        <v>3</v>
      </c>
    </row>
  </sheetData>
  <mergeCells count="39">
    <mergeCell ref="A37:I37"/>
    <mergeCell ref="A38:I38"/>
    <mergeCell ref="A40:I40"/>
    <mergeCell ref="A41:I41"/>
    <mergeCell ref="A42:I42"/>
    <mergeCell ref="A36:I36"/>
    <mergeCell ref="A25:I25"/>
    <mergeCell ref="A26:I26"/>
    <mergeCell ref="A27:I27"/>
    <mergeCell ref="A28:I28"/>
    <mergeCell ref="A29:I29"/>
    <mergeCell ref="A30:I30"/>
    <mergeCell ref="A31:I31"/>
    <mergeCell ref="A33:I33"/>
    <mergeCell ref="A32:I32"/>
    <mergeCell ref="A34:I34"/>
    <mergeCell ref="A35:I35"/>
    <mergeCell ref="A24:I24"/>
    <mergeCell ref="A14:I14"/>
    <mergeCell ref="A15:I15"/>
    <mergeCell ref="A16:I16"/>
    <mergeCell ref="A17:I17"/>
    <mergeCell ref="A18:I18"/>
    <mergeCell ref="A19:I19"/>
    <mergeCell ref="A20:I20"/>
    <mergeCell ref="A21:I21"/>
    <mergeCell ref="A22:I22"/>
    <mergeCell ref="A23:I23"/>
    <mergeCell ref="A13:I13"/>
    <mergeCell ref="A1:I1"/>
    <mergeCell ref="A2:I2"/>
    <mergeCell ref="A3:I3"/>
    <mergeCell ref="A4:I4"/>
    <mergeCell ref="A5:I5"/>
    <mergeCell ref="A8:I8"/>
    <mergeCell ref="A9:I9"/>
    <mergeCell ref="A10:I10"/>
    <mergeCell ref="A11:I11"/>
    <mergeCell ref="A12:I12"/>
  </mergeCells>
  <pageMargins left="0.7" right="0.7" top="0.75" bottom="0.75" header="0.3" footer="0.3"/>
  <pageSetup orientation="portrait" r:id="rId1"/>
  <headerFooter>
    <oddHeader>&amp;C&amp;"-,Bold"              البنك الإسلامي العربي  ش.م.ع
     Arab Islamic Bank  P.L.C       &amp;R&amp;G</oddHeader>
  </headerFooter>
  <rowBreaks count="1" manualBreakCount="1">
    <brk id="16" max="8" man="1"/>
  </rowBreaks>
  <legacyDrawingHF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6"/>
  <dimension ref="A2:H20"/>
  <sheetViews>
    <sheetView rightToLeft="1" view="pageBreakPreview" zoomScale="60" zoomScaleNormal="100" workbookViewId="0">
      <selection activeCell="A9" sqref="A9"/>
    </sheetView>
  </sheetViews>
  <sheetFormatPr defaultColWidth="9.140625" defaultRowHeight="34.5"/>
  <cols>
    <col min="1" max="3" width="35.42578125" style="879" customWidth="1"/>
    <col min="4" max="16384" width="9.140625" style="879"/>
  </cols>
  <sheetData>
    <row r="2" spans="1:8">
      <c r="A2" s="1246"/>
      <c r="B2" s="1241"/>
      <c r="C2" s="1247" t="str">
        <f>"التاريخ: "&amp;TEXT('مدخلات العقود'!$J$15,"dd/mm/yyyy")</f>
        <v>التاريخ: 00/01/1900</v>
      </c>
      <c r="D2" s="881"/>
      <c r="E2" s="881"/>
    </row>
    <row r="3" spans="1:8" ht="27.75" customHeight="1">
      <c r="A3" s="1701" t="s">
        <v>1237</v>
      </c>
      <c r="B3" s="1701"/>
      <c r="C3" s="1701"/>
      <c r="D3" s="878"/>
      <c r="E3" s="878"/>
    </row>
    <row r="4" spans="1:8" ht="27.75" customHeight="1">
      <c r="A4" s="1701" t="s">
        <v>1222</v>
      </c>
      <c r="B4" s="1701"/>
      <c r="C4" s="1701"/>
      <c r="D4" s="878"/>
      <c r="E4" s="878"/>
    </row>
    <row r="5" spans="1:8" ht="27.75" customHeight="1">
      <c r="A5" s="1703" t="s">
        <v>1238</v>
      </c>
      <c r="B5" s="1703"/>
      <c r="C5" s="1703"/>
      <c r="D5" s="882"/>
      <c r="E5" s="882"/>
    </row>
    <row r="6" spans="1:8" ht="27.75" customHeight="1">
      <c r="A6" s="1699" t="s">
        <v>1344</v>
      </c>
      <c r="B6" s="1699"/>
      <c r="C6" s="1699"/>
      <c r="D6" s="883"/>
      <c r="E6" s="883"/>
    </row>
    <row r="7" spans="1:8" ht="20.100000000000001" customHeight="1">
      <c r="A7" s="1248"/>
      <c r="B7" s="1248"/>
      <c r="C7" s="1248"/>
      <c r="D7" s="881"/>
      <c r="E7" s="881"/>
    </row>
    <row r="8" spans="1:8" ht="159.94999999999999" customHeight="1">
      <c r="A8" s="1700" t="str">
        <f>"نحن الموقعون أدناه ابراهيم شريف عبد القادر عيسى، حامل هوية رقم (852887934) وحامد محمد نور الدين طه ، حامل هوية رقم 941330037 ممثلين ومفوضين بالتوقيع عن شركة الاجارة الفلسطينية مشتغل مرخص رقم (562528679)، نفوض السيد/ة: "&amp;'مدخلات العقود'!$G$17&amp;"، حامل/ة هوية رقم ("&amp;'مدخلات العقود'!$G$18&amp;")، وذلك ليقوم/لتقوم مقامنا وينوب/ تنوب عنا بالإشراف والمناظرة ومتابعة ترخيص المركبات المبينة مواصفاتها أدناه لصالح شركة الإجارة الفلسطينية:"</f>
        <v>نحن الموقعون أدناه ابراهيم شريف عبد القادر عيسى، حامل هوية رقم (852887934) وحامد محمد نور الدين طه ، حامل هوية رقم 941330037 ممثلين ومفوضين بالتوقيع عن شركة الاجارة الفلسطينية مشتغل مرخص رقم (562528679)، نفوض السيد/ة: محمد صبحي عبد الكريم عيسى، حامل/ة هوية رقم (854708104)، وذلك ليقوم/لتقوم مقامنا وينوب/ تنوب عنا بالإشراف والمناظرة ومتابعة ترخيص المركبات المبينة مواصفاتها أدناه لصالح شركة الإجارة الفلسطينية:</v>
      </c>
      <c r="B8" s="1700"/>
      <c r="C8" s="1700"/>
      <c r="D8" s="882"/>
      <c r="E8" s="1249"/>
      <c r="F8" s="1249"/>
      <c r="G8" s="1249"/>
      <c r="H8" s="1249"/>
    </row>
    <row r="9" spans="1:8" ht="35.25">
      <c r="E9" s="1250"/>
      <c r="F9" s="1249"/>
      <c r="G9" s="1251"/>
      <c r="H9" s="1249"/>
    </row>
    <row r="10" spans="1:8" ht="35.25">
      <c r="A10" s="1238" t="s">
        <v>1223</v>
      </c>
      <c r="B10" s="1238" t="s">
        <v>954</v>
      </c>
      <c r="C10" s="1238" t="s">
        <v>563</v>
      </c>
      <c r="E10" s="1250"/>
      <c r="F10" s="1249"/>
      <c r="G10" s="1251"/>
      <c r="H10" s="1249"/>
    </row>
    <row r="11" spans="1:8" ht="60" customHeight="1">
      <c r="A11" s="1239" t="str">
        <f>'مدخلات العقود'!$F$12</f>
        <v/>
      </c>
      <c r="B11" s="1239" t="str">
        <f>'مدخلات العقود'!$J$12</f>
        <v/>
      </c>
      <c r="C11" s="1239">
        <f>'مدخلات العقود'!$H$12</f>
        <v>2015</v>
      </c>
      <c r="E11" s="1250"/>
      <c r="F11" s="1249"/>
      <c r="G11" s="1251"/>
      <c r="H11" s="1249"/>
    </row>
    <row r="12" spans="1:8" ht="20.100000000000001" customHeight="1">
      <c r="A12" s="884"/>
      <c r="E12" s="1249"/>
      <c r="F12" s="1249"/>
      <c r="G12" s="1249"/>
      <c r="H12" s="1249"/>
    </row>
    <row r="13" spans="1:8">
      <c r="A13" s="1701" t="s">
        <v>1699</v>
      </c>
      <c r="B13" s="1701"/>
      <c r="C13" s="1701"/>
    </row>
    <row r="14" spans="1:8" ht="20.100000000000001" customHeight="1">
      <c r="A14" s="1240"/>
      <c r="B14" s="1241"/>
      <c r="C14" s="1241"/>
    </row>
    <row r="15" spans="1:8">
      <c r="A15" s="1702" t="s">
        <v>1224</v>
      </c>
      <c r="B15" s="1702"/>
      <c r="C15" s="1702"/>
    </row>
    <row r="16" spans="1:8" ht="20.100000000000001" customHeight="1">
      <c r="A16" s="1242"/>
      <c r="B16" s="1243"/>
      <c r="C16" s="1243"/>
    </row>
    <row r="17" spans="1:3" ht="38.25">
      <c r="A17" s="1243"/>
      <c r="B17" s="1243"/>
      <c r="C17" s="1243"/>
    </row>
    <row r="19" spans="1:3" ht="38.25">
      <c r="A19" s="1244" t="s">
        <v>1700</v>
      </c>
      <c r="B19" s="1243"/>
      <c r="C19" s="1244" t="s">
        <v>1701</v>
      </c>
    </row>
    <row r="20" spans="1:3" ht="38.25">
      <c r="A20" s="1245" t="s">
        <v>1702</v>
      </c>
      <c r="B20" s="1243"/>
      <c r="C20" s="1245" t="s">
        <v>1703</v>
      </c>
    </row>
  </sheetData>
  <mergeCells count="7">
    <mergeCell ref="A6:C6"/>
    <mergeCell ref="A8:C8"/>
    <mergeCell ref="A13:C13"/>
    <mergeCell ref="A15:C15"/>
    <mergeCell ref="A3:C3"/>
    <mergeCell ref="A4:C4"/>
    <mergeCell ref="A5:C5"/>
  </mergeCells>
  <pageMargins left="0.7" right="0.7" top="0.75" bottom="0.75" header="0.3" footer="0.3"/>
  <pageSetup scale="85" orientation="portrait" r:id="rId1"/>
  <headerFooter>
    <oddHeader>&amp;L&amp;G</oddHeader>
    <oddFooter>&amp;C&amp;G</oddFooter>
  </headerFooter>
  <legacyDrawingHF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7"/>
  <dimension ref="A1:D14"/>
  <sheetViews>
    <sheetView rightToLeft="1" view="pageLayout" zoomScaleNormal="100" zoomScaleSheetLayoutView="85" workbookViewId="0">
      <selection activeCell="A5" sqref="A5"/>
    </sheetView>
  </sheetViews>
  <sheetFormatPr defaultColWidth="9.140625" defaultRowHeight="34.5"/>
  <cols>
    <col min="1" max="3" width="35.42578125" style="879" customWidth="1"/>
    <col min="4" max="16384" width="9.140625" style="879"/>
  </cols>
  <sheetData>
    <row r="1" spans="1:4" ht="35.25">
      <c r="A1" s="1704" t="s">
        <v>3</v>
      </c>
      <c r="B1" s="1704"/>
      <c r="D1" s="880" t="str">
        <f>"التاريخ: "&amp;'مدخلات العقود'!$J$16</f>
        <v>التاريخ: 0</v>
      </c>
    </row>
    <row r="2" spans="1:4" ht="35.25">
      <c r="A2" s="887" t="str">
        <f>"حضرة السيد/السادة "&amp;'مدخلات العقود'!$B$9&amp;" المحترمين"</f>
        <v>حضرة السيد/السادة 0 المحترمين</v>
      </c>
      <c r="C2" s="887"/>
      <c r="D2" s="887"/>
    </row>
    <row r="3" spans="1:4" ht="20.100000000000001" customHeight="1">
      <c r="A3" s="881"/>
      <c r="B3" s="1705"/>
      <c r="C3" s="1705"/>
      <c r="D3" s="1705"/>
    </row>
    <row r="4" spans="1:4" ht="38.25">
      <c r="A4" s="1706" t="s">
        <v>1239</v>
      </c>
      <c r="B4" s="1706"/>
      <c r="C4" s="1706"/>
      <c r="D4" s="883"/>
    </row>
    <row r="5" spans="1:4">
      <c r="A5" s="886" t="s">
        <v>1238</v>
      </c>
    </row>
    <row r="6" spans="1:4" ht="249" customHeight="1">
      <c r="A6" s="1707" t="str">
        <f>IF(OR(التوصية!$B$248='بيانات للادخال'!$F$2,التوصية!$B$248='بيانات للادخال'!$F$3),"بالإشارة إلى موافقتنا على منح التمويل اللازم للسيد/ة/السادة "&amp;'مدخلات العقود'!$B$2&amp;"  لشراء "&amp;'مدخلات العقود'!$F$12&amp;"، فإننا نتعهد بدفع مبلغ "&amp;IF(التوصية!$D$248='بيانات للادخال'!$G$2,TEXT('مدخلات العقود'!$J$10,"0,0"),TEXT('مدخلات العقود'!$J$10/1.1,"0,0"))&amp;FC&amp;" بموجب حوالة بنكية شريطة تسجيل الأصل/ول المشار إليها أدناه باسم شركة الإجارة الفلسطينية مشتغل مرخص رقم (562528679) حسب الأصول وتوقيع كامل العقود المطلوبة وتسليمنا فاتورة ضريبية مختومة من دائرة ض. ق. م بقيمة لا تقل عن مبلغ "&amp;TEXT('مدخلات العقود'!$F$10,"0,0")&amp;FC&amp;" وكتاب تثبيت سعر صرف موافق عليه من طرفنا في حال كانت عملة الفاتورة غير عملة المبلغ الذي نتعهد بتحويله هنا، وكذلك سند قبض بقيمة "&amp;TEXT('مدخلات العقود'!$H$10,"0,0")&amp;$D$6&amp;" باسم شركة الإجارة الفلسطينية وشهادة خصم بالمصدر سارية المفعول عند الدفع وتزويدنا بتفاصيل الحساب البنكي ورقم الآيبان.",IF(التوصية!$B$248='بيانات للادخال'!$F$4,"بالإشارة إلى موافقتنا على منح التمويل اللازم للسيد/ة/السادة "&amp;'مدخلات العقود'!$B$2&amp;"  لشراء "&amp;'مدخلات العقود'!$F$12&amp;"، فإننا نتعهد بدفع مبلغ "&amp;'مدخلات العقود'!$D$9&amp;" بموجب حوالة بنكية شريطة تسجيل الأصل/ول المشار إليها أدناه باسم شركة الإجارة الفلسطينية مشتغل مرخص رقم (562528679) حسب الأصول وتوقيع كامل العقود المطلوبة وتسليمنا عرض سعر بقيمة لا تقل عن مبلغ "&amp;'مدخلات العقود'!$J$10&amp;" وكتاب تثبيت سعر صرف موافق عليه من طرفنا في حال كانت عملة عرض السعر غير عملة المبلغ الذي نتعهد بتحويله هنا، وكذلك سند قبض بقيمة "&amp;'مدخلات العقود'!$H$10&amp;$D$6&amp;" باسم شركة الإجارة الفلسطينية وشهادة خصم بالمصدر سارية المفعول عند الدفع وتزويدنا بتفاصيل الحساب البنكي ورقم الآيبان."))</f>
        <v>بالإشارة إلى موافقتنا على منح التمويل اللازم للسيد/ة/السادة 0  لشراء ، فإننا نتعهد بدفع مبلغ 00دولار بموجب حوالة بنكية شريطة تسجيل الأصل/ول المشار إليها أدناه باسم شركة الإجارة الفلسطينية مشتغل مرخص رقم (562528679) حسب الأصول وتوقيع كامل العقود المطلوبة وتسليمنا فاتورة ضريبية مختومة من دائرة ض. ق. م بقيمة لا تقل عن مبلغ 00دولار وكتاب تثبيت سعر صرف موافق عليه من طرفنا في حال كانت عملة الفاتورة غير عملة المبلغ الذي نتعهد بتحويله هنا، وكذلك سند قبض بقيمة 00 دولار باسم شركة الإجارة الفلسطينية وشهادة خصم بالمصدر سارية المفعول عند الدفع وتزويدنا بتفاصيل الحساب البنكي ورقم الآيبان.</v>
      </c>
      <c r="B6" s="1707"/>
      <c r="C6" s="1707"/>
      <c r="D6" s="879" t="str">
        <f>IF(التوصية!$B$279='بيانات للادخال'!$A$2," "&amp;'بيانات للادخال'!$A$2,IF(التوصية!$B$279='بيانات للادخال'!$A$3," "&amp;'بيانات للادخال'!$A$3," بعملة التمويل"))</f>
        <v xml:space="preserve"> دولار</v>
      </c>
    </row>
    <row r="7" spans="1:4">
      <c r="A7" s="888" t="s">
        <v>1223</v>
      </c>
      <c r="B7" s="1708" t="str">
        <f>'مدخلات العقود'!$F$12</f>
        <v/>
      </c>
      <c r="C7" s="1708"/>
    </row>
    <row r="8" spans="1:4">
      <c r="A8" s="888" t="s">
        <v>919</v>
      </c>
      <c r="B8" s="1710">
        <f>'مدخلات العقود'!$H$12</f>
        <v>2015</v>
      </c>
      <c r="C8" s="1708"/>
    </row>
    <row r="9" spans="1:4">
      <c r="A9" s="888" t="s">
        <v>954</v>
      </c>
      <c r="B9" s="1708" t="str">
        <f>'مدخلات العقود'!$J$12</f>
        <v/>
      </c>
      <c r="C9" s="1708"/>
    </row>
    <row r="10" spans="1:4" ht="9.9499999999999993" customHeight="1"/>
    <row r="11" spans="1:4" ht="102" customHeight="1">
      <c r="A11" s="1711" t="s">
        <v>1240</v>
      </c>
      <c r="B11" s="1711"/>
      <c r="C11" s="1711"/>
    </row>
    <row r="12" spans="1:4" ht="35.25">
      <c r="A12" s="1709" t="s">
        <v>1241</v>
      </c>
      <c r="B12" s="1709"/>
      <c r="C12" s="1709"/>
    </row>
    <row r="13" spans="1:4" ht="35.25">
      <c r="A13" s="1704"/>
      <c r="C13" s="889" t="b">
        <f>IF('مدخلات العقود'!$G$14='بيانات للادخال'!$AD$2,"عادل الرمحي",IF('مدخلات العقود'!$G$14='بيانات للادخال'!$AD$3,"حامد طه"))</f>
        <v>0</v>
      </c>
    </row>
    <row r="14" spans="1:4" ht="35.25">
      <c r="A14" s="1704"/>
      <c r="C14" s="889" t="b">
        <f>IF('مدخلات العقود'!$G$14='بيانات للادخال'!$AD$2,"المدير العام",IF('مدخلات العقود'!$G$14='بيانات للادخال'!$AD$3,"المدير المالي والإداري"))</f>
        <v>0</v>
      </c>
    </row>
  </sheetData>
  <mergeCells count="10">
    <mergeCell ref="A13:A14"/>
    <mergeCell ref="A12:C12"/>
    <mergeCell ref="B7:C7"/>
    <mergeCell ref="B8:C8"/>
    <mergeCell ref="A11:C11"/>
    <mergeCell ref="A1:B1"/>
    <mergeCell ref="B3:D3"/>
    <mergeCell ref="A4:C4"/>
    <mergeCell ref="A6:C6"/>
    <mergeCell ref="B9:C9"/>
  </mergeCells>
  <pageMargins left="0.7" right="0.7" top="0.75" bottom="0.75" header="0.3" footer="0.3"/>
  <pageSetup scale="85" orientation="portrait" r:id="rId1"/>
  <headerFooter>
    <oddHeader>&amp;L&amp;G&amp;R&amp;"-,Bold"&amp;14
التاريخ: &amp;D</oddHeader>
    <oddFooter>&amp;C&amp;G</oddFooter>
  </headerFooter>
  <legacyDrawingHF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2"/>
  <dimension ref="A1:H45"/>
  <sheetViews>
    <sheetView showGridLines="0" zoomScaleNormal="100" workbookViewId="0">
      <selection activeCell="I39" sqref="I39"/>
    </sheetView>
  </sheetViews>
  <sheetFormatPr defaultRowHeight="15"/>
  <cols>
    <col min="1" max="1" width="17.5703125" style="904" customWidth="1"/>
    <col min="2" max="2" width="19.7109375" style="904" customWidth="1"/>
    <col min="3" max="3" width="9.5703125" style="904" bestFit="1" customWidth="1"/>
    <col min="4" max="4" width="15.5703125" style="904" bestFit="1" customWidth="1"/>
    <col min="5" max="6" width="13.7109375" style="904" customWidth="1"/>
    <col min="7" max="7" width="2.85546875" style="904" bestFit="1" customWidth="1"/>
    <col min="8" max="244" width="9.140625" style="904"/>
    <col min="245" max="245" width="3.140625" style="904" customWidth="1"/>
    <col min="246" max="246" width="10.7109375" style="904" customWidth="1"/>
    <col min="247" max="247" width="2.7109375" style="904" customWidth="1"/>
    <col min="248" max="248" width="4.7109375" style="904" customWidth="1"/>
    <col min="249" max="249" width="10.7109375" style="904" customWidth="1"/>
    <col min="250" max="250" width="2.28515625" style="904" customWidth="1"/>
    <col min="251" max="251" width="16.7109375" style="904" customWidth="1"/>
    <col min="252" max="252" width="3.140625" style="904" customWidth="1"/>
    <col min="253" max="253" width="2.85546875" style="904" customWidth="1"/>
    <col min="254" max="254" width="14.140625" style="904" customWidth="1"/>
    <col min="255" max="255" width="4.7109375" style="904" customWidth="1"/>
    <col min="256" max="257" width="3.140625" style="904" customWidth="1"/>
    <col min="258" max="258" width="14.140625" style="904" bestFit="1" customWidth="1"/>
    <col min="259" max="259" width="4.7109375" style="904" customWidth="1"/>
    <col min="260" max="261" width="9.140625" style="904"/>
    <col min="262" max="262" width="0" style="904" hidden="1" customWidth="1"/>
    <col min="263" max="500" width="9.140625" style="904"/>
    <col min="501" max="501" width="3.140625" style="904" customWidth="1"/>
    <col min="502" max="502" width="10.7109375" style="904" customWidth="1"/>
    <col min="503" max="503" width="2.7109375" style="904" customWidth="1"/>
    <col min="504" max="504" width="4.7109375" style="904" customWidth="1"/>
    <col min="505" max="505" width="10.7109375" style="904" customWidth="1"/>
    <col min="506" max="506" width="2.28515625" style="904" customWidth="1"/>
    <col min="507" max="507" width="16.7109375" style="904" customWidth="1"/>
    <col min="508" max="508" width="3.140625" style="904" customWidth="1"/>
    <col min="509" max="509" width="2.85546875" style="904" customWidth="1"/>
    <col min="510" max="510" width="14.140625" style="904" customWidth="1"/>
    <col min="511" max="511" width="4.7109375" style="904" customWidth="1"/>
    <col min="512" max="513" width="3.140625" style="904" customWidth="1"/>
    <col min="514" max="514" width="14.140625" style="904" bestFit="1" customWidth="1"/>
    <col min="515" max="515" width="4.7109375" style="904" customWidth="1"/>
    <col min="516" max="517" width="9.140625" style="904"/>
    <col min="518" max="518" width="0" style="904" hidden="1" customWidth="1"/>
    <col min="519" max="756" width="9.140625" style="904"/>
    <col min="757" max="757" width="3.140625" style="904" customWidth="1"/>
    <col min="758" max="758" width="10.7109375" style="904" customWidth="1"/>
    <col min="759" max="759" width="2.7109375" style="904" customWidth="1"/>
    <col min="760" max="760" width="4.7109375" style="904" customWidth="1"/>
    <col min="761" max="761" width="10.7109375" style="904" customWidth="1"/>
    <col min="762" max="762" width="2.28515625" style="904" customWidth="1"/>
    <col min="763" max="763" width="16.7109375" style="904" customWidth="1"/>
    <col min="764" max="764" width="3.140625" style="904" customWidth="1"/>
    <col min="765" max="765" width="2.85546875" style="904" customWidth="1"/>
    <col min="766" max="766" width="14.140625" style="904" customWidth="1"/>
    <col min="767" max="767" width="4.7109375" style="904" customWidth="1"/>
    <col min="768" max="769" width="3.140625" style="904" customWidth="1"/>
    <col min="770" max="770" width="14.140625" style="904" bestFit="1" customWidth="1"/>
    <col min="771" max="771" width="4.7109375" style="904" customWidth="1"/>
    <col min="772" max="773" width="9.140625" style="904"/>
    <col min="774" max="774" width="0" style="904" hidden="1" customWidth="1"/>
    <col min="775" max="1012" width="9.140625" style="904"/>
    <col min="1013" max="1013" width="3.140625" style="904" customWidth="1"/>
    <col min="1014" max="1014" width="10.7109375" style="904" customWidth="1"/>
    <col min="1015" max="1015" width="2.7109375" style="904" customWidth="1"/>
    <col min="1016" max="1016" width="4.7109375" style="904" customWidth="1"/>
    <col min="1017" max="1017" width="10.7109375" style="904" customWidth="1"/>
    <col min="1018" max="1018" width="2.28515625" style="904" customWidth="1"/>
    <col min="1019" max="1019" width="16.7109375" style="904" customWidth="1"/>
    <col min="1020" max="1020" width="3.140625" style="904" customWidth="1"/>
    <col min="1021" max="1021" width="2.85546875" style="904" customWidth="1"/>
    <col min="1022" max="1022" width="14.140625" style="904" customWidth="1"/>
    <col min="1023" max="1023" width="4.7109375" style="904" customWidth="1"/>
    <col min="1024" max="1025" width="3.140625" style="904" customWidth="1"/>
    <col min="1026" max="1026" width="14.140625" style="904" bestFit="1" customWidth="1"/>
    <col min="1027" max="1027" width="4.7109375" style="904" customWidth="1"/>
    <col min="1028" max="1029" width="9.140625" style="904"/>
    <col min="1030" max="1030" width="0" style="904" hidden="1" customWidth="1"/>
    <col min="1031" max="1268" width="9.140625" style="904"/>
    <col min="1269" max="1269" width="3.140625" style="904" customWidth="1"/>
    <col min="1270" max="1270" width="10.7109375" style="904" customWidth="1"/>
    <col min="1271" max="1271" width="2.7109375" style="904" customWidth="1"/>
    <col min="1272" max="1272" width="4.7109375" style="904" customWidth="1"/>
    <col min="1273" max="1273" width="10.7109375" style="904" customWidth="1"/>
    <col min="1274" max="1274" width="2.28515625" style="904" customWidth="1"/>
    <col min="1275" max="1275" width="16.7109375" style="904" customWidth="1"/>
    <col min="1276" max="1276" width="3.140625" style="904" customWidth="1"/>
    <col min="1277" max="1277" width="2.85546875" style="904" customWidth="1"/>
    <col min="1278" max="1278" width="14.140625" style="904" customWidth="1"/>
    <col min="1279" max="1279" width="4.7109375" style="904" customWidth="1"/>
    <col min="1280" max="1281" width="3.140625" style="904" customWidth="1"/>
    <col min="1282" max="1282" width="14.140625" style="904" bestFit="1" customWidth="1"/>
    <col min="1283" max="1283" width="4.7109375" style="904" customWidth="1"/>
    <col min="1284" max="1285" width="9.140625" style="904"/>
    <col min="1286" max="1286" width="0" style="904" hidden="1" customWidth="1"/>
    <col min="1287" max="1524" width="9.140625" style="904"/>
    <col min="1525" max="1525" width="3.140625" style="904" customWidth="1"/>
    <col min="1526" max="1526" width="10.7109375" style="904" customWidth="1"/>
    <col min="1527" max="1527" width="2.7109375" style="904" customWidth="1"/>
    <col min="1528" max="1528" width="4.7109375" style="904" customWidth="1"/>
    <col min="1529" max="1529" width="10.7109375" style="904" customWidth="1"/>
    <col min="1530" max="1530" width="2.28515625" style="904" customWidth="1"/>
    <col min="1531" max="1531" width="16.7109375" style="904" customWidth="1"/>
    <col min="1532" max="1532" width="3.140625" style="904" customWidth="1"/>
    <col min="1533" max="1533" width="2.85546875" style="904" customWidth="1"/>
    <col min="1534" max="1534" width="14.140625" style="904" customWidth="1"/>
    <col min="1535" max="1535" width="4.7109375" style="904" customWidth="1"/>
    <col min="1536" max="1537" width="3.140625" style="904" customWidth="1"/>
    <col min="1538" max="1538" width="14.140625" style="904" bestFit="1" customWidth="1"/>
    <col min="1539" max="1539" width="4.7109375" style="904" customWidth="1"/>
    <col min="1540" max="1541" width="9.140625" style="904"/>
    <col min="1542" max="1542" width="0" style="904" hidden="1" customWidth="1"/>
    <col min="1543" max="1780" width="9.140625" style="904"/>
    <col min="1781" max="1781" width="3.140625" style="904" customWidth="1"/>
    <col min="1782" max="1782" width="10.7109375" style="904" customWidth="1"/>
    <col min="1783" max="1783" width="2.7109375" style="904" customWidth="1"/>
    <col min="1784" max="1784" width="4.7109375" style="904" customWidth="1"/>
    <col min="1785" max="1785" width="10.7109375" style="904" customWidth="1"/>
    <col min="1786" max="1786" width="2.28515625" style="904" customWidth="1"/>
    <col min="1787" max="1787" width="16.7109375" style="904" customWidth="1"/>
    <col min="1788" max="1788" width="3.140625" style="904" customWidth="1"/>
    <col min="1789" max="1789" width="2.85546875" style="904" customWidth="1"/>
    <col min="1790" max="1790" width="14.140625" style="904" customWidth="1"/>
    <col min="1791" max="1791" width="4.7109375" style="904" customWidth="1"/>
    <col min="1792" max="1793" width="3.140625" style="904" customWidth="1"/>
    <col min="1794" max="1794" width="14.140625" style="904" bestFit="1" customWidth="1"/>
    <col min="1795" max="1795" width="4.7109375" style="904" customWidth="1"/>
    <col min="1796" max="1797" width="9.140625" style="904"/>
    <col min="1798" max="1798" width="0" style="904" hidden="1" customWidth="1"/>
    <col min="1799" max="2036" width="9.140625" style="904"/>
    <col min="2037" max="2037" width="3.140625" style="904" customWidth="1"/>
    <col min="2038" max="2038" width="10.7109375" style="904" customWidth="1"/>
    <col min="2039" max="2039" width="2.7109375" style="904" customWidth="1"/>
    <col min="2040" max="2040" width="4.7109375" style="904" customWidth="1"/>
    <col min="2041" max="2041" width="10.7109375" style="904" customWidth="1"/>
    <col min="2042" max="2042" width="2.28515625" style="904" customWidth="1"/>
    <col min="2043" max="2043" width="16.7109375" style="904" customWidth="1"/>
    <col min="2044" max="2044" width="3.140625" style="904" customWidth="1"/>
    <col min="2045" max="2045" width="2.85546875" style="904" customWidth="1"/>
    <col min="2046" max="2046" width="14.140625" style="904" customWidth="1"/>
    <col min="2047" max="2047" width="4.7109375" style="904" customWidth="1"/>
    <col min="2048" max="2049" width="3.140625" style="904" customWidth="1"/>
    <col min="2050" max="2050" width="14.140625" style="904" bestFit="1" customWidth="1"/>
    <col min="2051" max="2051" width="4.7109375" style="904" customWidth="1"/>
    <col min="2052" max="2053" width="9.140625" style="904"/>
    <col min="2054" max="2054" width="0" style="904" hidden="1" customWidth="1"/>
    <col min="2055" max="2292" width="9.140625" style="904"/>
    <col min="2293" max="2293" width="3.140625" style="904" customWidth="1"/>
    <col min="2294" max="2294" width="10.7109375" style="904" customWidth="1"/>
    <col min="2295" max="2295" width="2.7109375" style="904" customWidth="1"/>
    <col min="2296" max="2296" width="4.7109375" style="904" customWidth="1"/>
    <col min="2297" max="2297" width="10.7109375" style="904" customWidth="1"/>
    <col min="2298" max="2298" width="2.28515625" style="904" customWidth="1"/>
    <col min="2299" max="2299" width="16.7109375" style="904" customWidth="1"/>
    <col min="2300" max="2300" width="3.140625" style="904" customWidth="1"/>
    <col min="2301" max="2301" width="2.85546875" style="904" customWidth="1"/>
    <col min="2302" max="2302" width="14.140625" style="904" customWidth="1"/>
    <col min="2303" max="2303" width="4.7109375" style="904" customWidth="1"/>
    <col min="2304" max="2305" width="3.140625" style="904" customWidth="1"/>
    <col min="2306" max="2306" width="14.140625" style="904" bestFit="1" customWidth="1"/>
    <col min="2307" max="2307" width="4.7109375" style="904" customWidth="1"/>
    <col min="2308" max="2309" width="9.140625" style="904"/>
    <col min="2310" max="2310" width="0" style="904" hidden="1" customWidth="1"/>
    <col min="2311" max="2548" width="9.140625" style="904"/>
    <col min="2549" max="2549" width="3.140625" style="904" customWidth="1"/>
    <col min="2550" max="2550" width="10.7109375" style="904" customWidth="1"/>
    <col min="2551" max="2551" width="2.7109375" style="904" customWidth="1"/>
    <col min="2552" max="2552" width="4.7109375" style="904" customWidth="1"/>
    <col min="2553" max="2553" width="10.7109375" style="904" customWidth="1"/>
    <col min="2554" max="2554" width="2.28515625" style="904" customWidth="1"/>
    <col min="2555" max="2555" width="16.7109375" style="904" customWidth="1"/>
    <col min="2556" max="2556" width="3.140625" style="904" customWidth="1"/>
    <col min="2557" max="2557" width="2.85546875" style="904" customWidth="1"/>
    <col min="2558" max="2558" width="14.140625" style="904" customWidth="1"/>
    <col min="2559" max="2559" width="4.7109375" style="904" customWidth="1"/>
    <col min="2560" max="2561" width="3.140625" style="904" customWidth="1"/>
    <col min="2562" max="2562" width="14.140625" style="904" bestFit="1" customWidth="1"/>
    <col min="2563" max="2563" width="4.7109375" style="904" customWidth="1"/>
    <col min="2564" max="2565" width="9.140625" style="904"/>
    <col min="2566" max="2566" width="0" style="904" hidden="1" customWidth="1"/>
    <col min="2567" max="2804" width="9.140625" style="904"/>
    <col min="2805" max="2805" width="3.140625" style="904" customWidth="1"/>
    <col min="2806" max="2806" width="10.7109375" style="904" customWidth="1"/>
    <col min="2807" max="2807" width="2.7109375" style="904" customWidth="1"/>
    <col min="2808" max="2808" width="4.7109375" style="904" customWidth="1"/>
    <col min="2809" max="2809" width="10.7109375" style="904" customWidth="1"/>
    <col min="2810" max="2810" width="2.28515625" style="904" customWidth="1"/>
    <col min="2811" max="2811" width="16.7109375" style="904" customWidth="1"/>
    <col min="2812" max="2812" width="3.140625" style="904" customWidth="1"/>
    <col min="2813" max="2813" width="2.85546875" style="904" customWidth="1"/>
    <col min="2814" max="2814" width="14.140625" style="904" customWidth="1"/>
    <col min="2815" max="2815" width="4.7109375" style="904" customWidth="1"/>
    <col min="2816" max="2817" width="3.140625" style="904" customWidth="1"/>
    <col min="2818" max="2818" width="14.140625" style="904" bestFit="1" customWidth="1"/>
    <col min="2819" max="2819" width="4.7109375" style="904" customWidth="1"/>
    <col min="2820" max="2821" width="9.140625" style="904"/>
    <col min="2822" max="2822" width="0" style="904" hidden="1" customWidth="1"/>
    <col min="2823" max="3060" width="9.140625" style="904"/>
    <col min="3061" max="3061" width="3.140625" style="904" customWidth="1"/>
    <col min="3062" max="3062" width="10.7109375" style="904" customWidth="1"/>
    <col min="3063" max="3063" width="2.7109375" style="904" customWidth="1"/>
    <col min="3064" max="3064" width="4.7109375" style="904" customWidth="1"/>
    <col min="3065" max="3065" width="10.7109375" style="904" customWidth="1"/>
    <col min="3066" max="3066" width="2.28515625" style="904" customWidth="1"/>
    <col min="3067" max="3067" width="16.7109375" style="904" customWidth="1"/>
    <col min="3068" max="3068" width="3.140625" style="904" customWidth="1"/>
    <col min="3069" max="3069" width="2.85546875" style="904" customWidth="1"/>
    <col min="3070" max="3070" width="14.140625" style="904" customWidth="1"/>
    <col min="3071" max="3071" width="4.7109375" style="904" customWidth="1"/>
    <col min="3072" max="3073" width="3.140625" style="904" customWidth="1"/>
    <col min="3074" max="3074" width="14.140625" style="904" bestFit="1" customWidth="1"/>
    <col min="3075" max="3075" width="4.7109375" style="904" customWidth="1"/>
    <col min="3076" max="3077" width="9.140625" style="904"/>
    <col min="3078" max="3078" width="0" style="904" hidden="1" customWidth="1"/>
    <col min="3079" max="3316" width="9.140625" style="904"/>
    <col min="3317" max="3317" width="3.140625" style="904" customWidth="1"/>
    <col min="3318" max="3318" width="10.7109375" style="904" customWidth="1"/>
    <col min="3319" max="3319" width="2.7109375" style="904" customWidth="1"/>
    <col min="3320" max="3320" width="4.7109375" style="904" customWidth="1"/>
    <col min="3321" max="3321" width="10.7109375" style="904" customWidth="1"/>
    <col min="3322" max="3322" width="2.28515625" style="904" customWidth="1"/>
    <col min="3323" max="3323" width="16.7109375" style="904" customWidth="1"/>
    <col min="3324" max="3324" width="3.140625" style="904" customWidth="1"/>
    <col min="3325" max="3325" width="2.85546875" style="904" customWidth="1"/>
    <col min="3326" max="3326" width="14.140625" style="904" customWidth="1"/>
    <col min="3327" max="3327" width="4.7109375" style="904" customWidth="1"/>
    <col min="3328" max="3329" width="3.140625" style="904" customWidth="1"/>
    <col min="3330" max="3330" width="14.140625" style="904" bestFit="1" customWidth="1"/>
    <col min="3331" max="3331" width="4.7109375" style="904" customWidth="1"/>
    <col min="3332" max="3333" width="9.140625" style="904"/>
    <col min="3334" max="3334" width="0" style="904" hidden="1" customWidth="1"/>
    <col min="3335" max="3572" width="9.140625" style="904"/>
    <col min="3573" max="3573" width="3.140625" style="904" customWidth="1"/>
    <col min="3574" max="3574" width="10.7109375" style="904" customWidth="1"/>
    <col min="3575" max="3575" width="2.7109375" style="904" customWidth="1"/>
    <col min="3576" max="3576" width="4.7109375" style="904" customWidth="1"/>
    <col min="3577" max="3577" width="10.7109375" style="904" customWidth="1"/>
    <col min="3578" max="3578" width="2.28515625" style="904" customWidth="1"/>
    <col min="3579" max="3579" width="16.7109375" style="904" customWidth="1"/>
    <col min="3580" max="3580" width="3.140625" style="904" customWidth="1"/>
    <col min="3581" max="3581" width="2.85546875" style="904" customWidth="1"/>
    <col min="3582" max="3582" width="14.140625" style="904" customWidth="1"/>
    <col min="3583" max="3583" width="4.7109375" style="904" customWidth="1"/>
    <col min="3584" max="3585" width="3.140625" style="904" customWidth="1"/>
    <col min="3586" max="3586" width="14.140625" style="904" bestFit="1" customWidth="1"/>
    <col min="3587" max="3587" width="4.7109375" style="904" customWidth="1"/>
    <col min="3588" max="3589" width="9.140625" style="904"/>
    <col min="3590" max="3590" width="0" style="904" hidden="1" customWidth="1"/>
    <col min="3591" max="3828" width="9.140625" style="904"/>
    <col min="3829" max="3829" width="3.140625" style="904" customWidth="1"/>
    <col min="3830" max="3830" width="10.7109375" style="904" customWidth="1"/>
    <col min="3831" max="3831" width="2.7109375" style="904" customWidth="1"/>
    <col min="3832" max="3832" width="4.7109375" style="904" customWidth="1"/>
    <col min="3833" max="3833" width="10.7109375" style="904" customWidth="1"/>
    <col min="3834" max="3834" width="2.28515625" style="904" customWidth="1"/>
    <col min="3835" max="3835" width="16.7109375" style="904" customWidth="1"/>
    <col min="3836" max="3836" width="3.140625" style="904" customWidth="1"/>
    <col min="3837" max="3837" width="2.85546875" style="904" customWidth="1"/>
    <col min="3838" max="3838" width="14.140625" style="904" customWidth="1"/>
    <col min="3839" max="3839" width="4.7109375" style="904" customWidth="1"/>
    <col min="3840" max="3841" width="3.140625" style="904" customWidth="1"/>
    <col min="3842" max="3842" width="14.140625" style="904" bestFit="1" customWidth="1"/>
    <col min="3843" max="3843" width="4.7109375" style="904" customWidth="1"/>
    <col min="3844" max="3845" width="9.140625" style="904"/>
    <col min="3846" max="3846" width="0" style="904" hidden="1" customWidth="1"/>
    <col min="3847" max="4084" width="9.140625" style="904"/>
    <col min="4085" max="4085" width="3.140625" style="904" customWidth="1"/>
    <col min="4086" max="4086" width="10.7109375" style="904" customWidth="1"/>
    <col min="4087" max="4087" width="2.7109375" style="904" customWidth="1"/>
    <col min="4088" max="4088" width="4.7109375" style="904" customWidth="1"/>
    <col min="4089" max="4089" width="10.7109375" style="904" customWidth="1"/>
    <col min="4090" max="4090" width="2.28515625" style="904" customWidth="1"/>
    <col min="4091" max="4091" width="16.7109375" style="904" customWidth="1"/>
    <col min="4092" max="4092" width="3.140625" style="904" customWidth="1"/>
    <col min="4093" max="4093" width="2.85546875" style="904" customWidth="1"/>
    <col min="4094" max="4094" width="14.140625" style="904" customWidth="1"/>
    <col min="4095" max="4095" width="4.7109375" style="904" customWidth="1"/>
    <col min="4096" max="4097" width="3.140625" style="904" customWidth="1"/>
    <col min="4098" max="4098" width="14.140625" style="904" bestFit="1" customWidth="1"/>
    <col min="4099" max="4099" width="4.7109375" style="904" customWidth="1"/>
    <col min="4100" max="4101" width="9.140625" style="904"/>
    <col min="4102" max="4102" width="0" style="904" hidden="1" customWidth="1"/>
    <col min="4103" max="4340" width="9.140625" style="904"/>
    <col min="4341" max="4341" width="3.140625" style="904" customWidth="1"/>
    <col min="4342" max="4342" width="10.7109375" style="904" customWidth="1"/>
    <col min="4343" max="4343" width="2.7109375" style="904" customWidth="1"/>
    <col min="4344" max="4344" width="4.7109375" style="904" customWidth="1"/>
    <col min="4345" max="4345" width="10.7109375" style="904" customWidth="1"/>
    <col min="4346" max="4346" width="2.28515625" style="904" customWidth="1"/>
    <col min="4347" max="4347" width="16.7109375" style="904" customWidth="1"/>
    <col min="4348" max="4348" width="3.140625" style="904" customWidth="1"/>
    <col min="4349" max="4349" width="2.85546875" style="904" customWidth="1"/>
    <col min="4350" max="4350" width="14.140625" style="904" customWidth="1"/>
    <col min="4351" max="4351" width="4.7109375" style="904" customWidth="1"/>
    <col min="4352" max="4353" width="3.140625" style="904" customWidth="1"/>
    <col min="4354" max="4354" width="14.140625" style="904" bestFit="1" customWidth="1"/>
    <col min="4355" max="4355" width="4.7109375" style="904" customWidth="1"/>
    <col min="4356" max="4357" width="9.140625" style="904"/>
    <col min="4358" max="4358" width="0" style="904" hidden="1" customWidth="1"/>
    <col min="4359" max="4596" width="9.140625" style="904"/>
    <col min="4597" max="4597" width="3.140625" style="904" customWidth="1"/>
    <col min="4598" max="4598" width="10.7109375" style="904" customWidth="1"/>
    <col min="4599" max="4599" width="2.7109375" style="904" customWidth="1"/>
    <col min="4600" max="4600" width="4.7109375" style="904" customWidth="1"/>
    <col min="4601" max="4601" width="10.7109375" style="904" customWidth="1"/>
    <col min="4602" max="4602" width="2.28515625" style="904" customWidth="1"/>
    <col min="4603" max="4603" width="16.7109375" style="904" customWidth="1"/>
    <col min="4604" max="4604" width="3.140625" style="904" customWidth="1"/>
    <col min="4605" max="4605" width="2.85546875" style="904" customWidth="1"/>
    <col min="4606" max="4606" width="14.140625" style="904" customWidth="1"/>
    <col min="4607" max="4607" width="4.7109375" style="904" customWidth="1"/>
    <col min="4608" max="4609" width="3.140625" style="904" customWidth="1"/>
    <col min="4610" max="4610" width="14.140625" style="904" bestFit="1" customWidth="1"/>
    <col min="4611" max="4611" width="4.7109375" style="904" customWidth="1"/>
    <col min="4612" max="4613" width="9.140625" style="904"/>
    <col min="4614" max="4614" width="0" style="904" hidden="1" customWidth="1"/>
    <col min="4615" max="4852" width="9.140625" style="904"/>
    <col min="4853" max="4853" width="3.140625" style="904" customWidth="1"/>
    <col min="4854" max="4854" width="10.7109375" style="904" customWidth="1"/>
    <col min="4855" max="4855" width="2.7109375" style="904" customWidth="1"/>
    <col min="4856" max="4856" width="4.7109375" style="904" customWidth="1"/>
    <col min="4857" max="4857" width="10.7109375" style="904" customWidth="1"/>
    <col min="4858" max="4858" width="2.28515625" style="904" customWidth="1"/>
    <col min="4859" max="4859" width="16.7109375" style="904" customWidth="1"/>
    <col min="4860" max="4860" width="3.140625" style="904" customWidth="1"/>
    <col min="4861" max="4861" width="2.85546875" style="904" customWidth="1"/>
    <col min="4862" max="4862" width="14.140625" style="904" customWidth="1"/>
    <col min="4863" max="4863" width="4.7109375" style="904" customWidth="1"/>
    <col min="4864" max="4865" width="3.140625" style="904" customWidth="1"/>
    <col min="4866" max="4866" width="14.140625" style="904" bestFit="1" customWidth="1"/>
    <col min="4867" max="4867" width="4.7109375" style="904" customWidth="1"/>
    <col min="4868" max="4869" width="9.140625" style="904"/>
    <col min="4870" max="4870" width="0" style="904" hidden="1" customWidth="1"/>
    <col min="4871" max="5108" width="9.140625" style="904"/>
    <col min="5109" max="5109" width="3.140625" style="904" customWidth="1"/>
    <col min="5110" max="5110" width="10.7109375" style="904" customWidth="1"/>
    <col min="5111" max="5111" width="2.7109375" style="904" customWidth="1"/>
    <col min="5112" max="5112" width="4.7109375" style="904" customWidth="1"/>
    <col min="5113" max="5113" width="10.7109375" style="904" customWidth="1"/>
    <col min="5114" max="5114" width="2.28515625" style="904" customWidth="1"/>
    <col min="5115" max="5115" width="16.7109375" style="904" customWidth="1"/>
    <col min="5116" max="5116" width="3.140625" style="904" customWidth="1"/>
    <col min="5117" max="5117" width="2.85546875" style="904" customWidth="1"/>
    <col min="5118" max="5118" width="14.140625" style="904" customWidth="1"/>
    <col min="5119" max="5119" width="4.7109375" style="904" customWidth="1"/>
    <col min="5120" max="5121" width="3.140625" style="904" customWidth="1"/>
    <col min="5122" max="5122" width="14.140625" style="904" bestFit="1" customWidth="1"/>
    <col min="5123" max="5123" width="4.7109375" style="904" customWidth="1"/>
    <col min="5124" max="5125" width="9.140625" style="904"/>
    <col min="5126" max="5126" width="0" style="904" hidden="1" customWidth="1"/>
    <col min="5127" max="5364" width="9.140625" style="904"/>
    <col min="5365" max="5365" width="3.140625" style="904" customWidth="1"/>
    <col min="5366" max="5366" width="10.7109375" style="904" customWidth="1"/>
    <col min="5367" max="5367" width="2.7109375" style="904" customWidth="1"/>
    <col min="5368" max="5368" width="4.7109375" style="904" customWidth="1"/>
    <col min="5369" max="5369" width="10.7109375" style="904" customWidth="1"/>
    <col min="5370" max="5370" width="2.28515625" style="904" customWidth="1"/>
    <col min="5371" max="5371" width="16.7109375" style="904" customWidth="1"/>
    <col min="5372" max="5372" width="3.140625" style="904" customWidth="1"/>
    <col min="5373" max="5373" width="2.85546875" style="904" customWidth="1"/>
    <col min="5374" max="5374" width="14.140625" style="904" customWidth="1"/>
    <col min="5375" max="5375" width="4.7109375" style="904" customWidth="1"/>
    <col min="5376" max="5377" width="3.140625" style="904" customWidth="1"/>
    <col min="5378" max="5378" width="14.140625" style="904" bestFit="1" customWidth="1"/>
    <col min="5379" max="5379" width="4.7109375" style="904" customWidth="1"/>
    <col min="5380" max="5381" width="9.140625" style="904"/>
    <col min="5382" max="5382" width="0" style="904" hidden="1" customWidth="1"/>
    <col min="5383" max="5620" width="9.140625" style="904"/>
    <col min="5621" max="5621" width="3.140625" style="904" customWidth="1"/>
    <col min="5622" max="5622" width="10.7109375" style="904" customWidth="1"/>
    <col min="5623" max="5623" width="2.7109375" style="904" customWidth="1"/>
    <col min="5624" max="5624" width="4.7109375" style="904" customWidth="1"/>
    <col min="5625" max="5625" width="10.7109375" style="904" customWidth="1"/>
    <col min="5626" max="5626" width="2.28515625" style="904" customWidth="1"/>
    <col min="5627" max="5627" width="16.7109375" style="904" customWidth="1"/>
    <col min="5628" max="5628" width="3.140625" style="904" customWidth="1"/>
    <col min="5629" max="5629" width="2.85546875" style="904" customWidth="1"/>
    <col min="5630" max="5630" width="14.140625" style="904" customWidth="1"/>
    <col min="5631" max="5631" width="4.7109375" style="904" customWidth="1"/>
    <col min="5632" max="5633" width="3.140625" style="904" customWidth="1"/>
    <col min="5634" max="5634" width="14.140625" style="904" bestFit="1" customWidth="1"/>
    <col min="5635" max="5635" width="4.7109375" style="904" customWidth="1"/>
    <col min="5636" max="5637" width="9.140625" style="904"/>
    <col min="5638" max="5638" width="0" style="904" hidden="1" customWidth="1"/>
    <col min="5639" max="5876" width="9.140625" style="904"/>
    <col min="5877" max="5877" width="3.140625" style="904" customWidth="1"/>
    <col min="5878" max="5878" width="10.7109375" style="904" customWidth="1"/>
    <col min="5879" max="5879" width="2.7109375" style="904" customWidth="1"/>
    <col min="5880" max="5880" width="4.7109375" style="904" customWidth="1"/>
    <col min="5881" max="5881" width="10.7109375" style="904" customWidth="1"/>
    <col min="5882" max="5882" width="2.28515625" style="904" customWidth="1"/>
    <col min="5883" max="5883" width="16.7109375" style="904" customWidth="1"/>
    <col min="5884" max="5884" width="3.140625" style="904" customWidth="1"/>
    <col min="5885" max="5885" width="2.85546875" style="904" customWidth="1"/>
    <col min="5886" max="5886" width="14.140625" style="904" customWidth="1"/>
    <col min="5887" max="5887" width="4.7109375" style="904" customWidth="1"/>
    <col min="5888" max="5889" width="3.140625" style="904" customWidth="1"/>
    <col min="5890" max="5890" width="14.140625" style="904" bestFit="1" customWidth="1"/>
    <col min="5891" max="5891" width="4.7109375" style="904" customWidth="1"/>
    <col min="5892" max="5893" width="9.140625" style="904"/>
    <col min="5894" max="5894" width="0" style="904" hidden="1" customWidth="1"/>
    <col min="5895" max="6132" width="9.140625" style="904"/>
    <col min="6133" max="6133" width="3.140625" style="904" customWidth="1"/>
    <col min="6134" max="6134" width="10.7109375" style="904" customWidth="1"/>
    <col min="6135" max="6135" width="2.7109375" style="904" customWidth="1"/>
    <col min="6136" max="6136" width="4.7109375" style="904" customWidth="1"/>
    <col min="6137" max="6137" width="10.7109375" style="904" customWidth="1"/>
    <col min="6138" max="6138" width="2.28515625" style="904" customWidth="1"/>
    <col min="6139" max="6139" width="16.7109375" style="904" customWidth="1"/>
    <col min="6140" max="6140" width="3.140625" style="904" customWidth="1"/>
    <col min="6141" max="6141" width="2.85546875" style="904" customWidth="1"/>
    <col min="6142" max="6142" width="14.140625" style="904" customWidth="1"/>
    <col min="6143" max="6143" width="4.7109375" style="904" customWidth="1"/>
    <col min="6144" max="6145" width="3.140625" style="904" customWidth="1"/>
    <col min="6146" max="6146" width="14.140625" style="904" bestFit="1" customWidth="1"/>
    <col min="6147" max="6147" width="4.7109375" style="904" customWidth="1"/>
    <col min="6148" max="6149" width="9.140625" style="904"/>
    <col min="6150" max="6150" width="0" style="904" hidden="1" customWidth="1"/>
    <col min="6151" max="6388" width="9.140625" style="904"/>
    <col min="6389" max="6389" width="3.140625" style="904" customWidth="1"/>
    <col min="6390" max="6390" width="10.7109375" style="904" customWidth="1"/>
    <col min="6391" max="6391" width="2.7109375" style="904" customWidth="1"/>
    <col min="6392" max="6392" width="4.7109375" style="904" customWidth="1"/>
    <col min="6393" max="6393" width="10.7109375" style="904" customWidth="1"/>
    <col min="6394" max="6394" width="2.28515625" style="904" customWidth="1"/>
    <col min="6395" max="6395" width="16.7109375" style="904" customWidth="1"/>
    <col min="6396" max="6396" width="3.140625" style="904" customWidth="1"/>
    <col min="6397" max="6397" width="2.85546875" style="904" customWidth="1"/>
    <col min="6398" max="6398" width="14.140625" style="904" customWidth="1"/>
    <col min="6399" max="6399" width="4.7109375" style="904" customWidth="1"/>
    <col min="6400" max="6401" width="3.140625" style="904" customWidth="1"/>
    <col min="6402" max="6402" width="14.140625" style="904" bestFit="1" customWidth="1"/>
    <col min="6403" max="6403" width="4.7109375" style="904" customWidth="1"/>
    <col min="6404" max="6405" width="9.140625" style="904"/>
    <col min="6406" max="6406" width="0" style="904" hidden="1" customWidth="1"/>
    <col min="6407" max="6644" width="9.140625" style="904"/>
    <col min="6645" max="6645" width="3.140625" style="904" customWidth="1"/>
    <col min="6646" max="6646" width="10.7109375" style="904" customWidth="1"/>
    <col min="6647" max="6647" width="2.7109375" style="904" customWidth="1"/>
    <col min="6648" max="6648" width="4.7109375" style="904" customWidth="1"/>
    <col min="6649" max="6649" width="10.7109375" style="904" customWidth="1"/>
    <col min="6650" max="6650" width="2.28515625" style="904" customWidth="1"/>
    <col min="6651" max="6651" width="16.7109375" style="904" customWidth="1"/>
    <col min="6652" max="6652" width="3.140625" style="904" customWidth="1"/>
    <col min="6653" max="6653" width="2.85546875" style="904" customWidth="1"/>
    <col min="6654" max="6654" width="14.140625" style="904" customWidth="1"/>
    <col min="6655" max="6655" width="4.7109375" style="904" customWidth="1"/>
    <col min="6656" max="6657" width="3.140625" style="904" customWidth="1"/>
    <col min="6658" max="6658" width="14.140625" style="904" bestFit="1" customWidth="1"/>
    <col min="6659" max="6659" width="4.7109375" style="904" customWidth="1"/>
    <col min="6660" max="6661" width="9.140625" style="904"/>
    <col min="6662" max="6662" width="0" style="904" hidden="1" customWidth="1"/>
    <col min="6663" max="6900" width="9.140625" style="904"/>
    <col min="6901" max="6901" width="3.140625" style="904" customWidth="1"/>
    <col min="6902" max="6902" width="10.7109375" style="904" customWidth="1"/>
    <col min="6903" max="6903" width="2.7109375" style="904" customWidth="1"/>
    <col min="6904" max="6904" width="4.7109375" style="904" customWidth="1"/>
    <col min="6905" max="6905" width="10.7109375" style="904" customWidth="1"/>
    <col min="6906" max="6906" width="2.28515625" style="904" customWidth="1"/>
    <col min="6907" max="6907" width="16.7109375" style="904" customWidth="1"/>
    <col min="6908" max="6908" width="3.140625" style="904" customWidth="1"/>
    <col min="6909" max="6909" width="2.85546875" style="904" customWidth="1"/>
    <col min="6910" max="6910" width="14.140625" style="904" customWidth="1"/>
    <col min="6911" max="6911" width="4.7109375" style="904" customWidth="1"/>
    <col min="6912" max="6913" width="3.140625" style="904" customWidth="1"/>
    <col min="6914" max="6914" width="14.140625" style="904" bestFit="1" customWidth="1"/>
    <col min="6915" max="6915" width="4.7109375" style="904" customWidth="1"/>
    <col min="6916" max="6917" width="9.140625" style="904"/>
    <col min="6918" max="6918" width="0" style="904" hidden="1" customWidth="1"/>
    <col min="6919" max="7156" width="9.140625" style="904"/>
    <col min="7157" max="7157" width="3.140625" style="904" customWidth="1"/>
    <col min="7158" max="7158" width="10.7109375" style="904" customWidth="1"/>
    <col min="7159" max="7159" width="2.7109375" style="904" customWidth="1"/>
    <col min="7160" max="7160" width="4.7109375" style="904" customWidth="1"/>
    <col min="7161" max="7161" width="10.7109375" style="904" customWidth="1"/>
    <col min="7162" max="7162" width="2.28515625" style="904" customWidth="1"/>
    <col min="7163" max="7163" width="16.7109375" style="904" customWidth="1"/>
    <col min="7164" max="7164" width="3.140625" style="904" customWidth="1"/>
    <col min="7165" max="7165" width="2.85546875" style="904" customWidth="1"/>
    <col min="7166" max="7166" width="14.140625" style="904" customWidth="1"/>
    <col min="7167" max="7167" width="4.7109375" style="904" customWidth="1"/>
    <col min="7168" max="7169" width="3.140625" style="904" customWidth="1"/>
    <col min="7170" max="7170" width="14.140625" style="904" bestFit="1" customWidth="1"/>
    <col min="7171" max="7171" width="4.7109375" style="904" customWidth="1"/>
    <col min="7172" max="7173" width="9.140625" style="904"/>
    <col min="7174" max="7174" width="0" style="904" hidden="1" customWidth="1"/>
    <col min="7175" max="7412" width="9.140625" style="904"/>
    <col min="7413" max="7413" width="3.140625" style="904" customWidth="1"/>
    <col min="7414" max="7414" width="10.7109375" style="904" customWidth="1"/>
    <col min="7415" max="7415" width="2.7109375" style="904" customWidth="1"/>
    <col min="7416" max="7416" width="4.7109375" style="904" customWidth="1"/>
    <col min="7417" max="7417" width="10.7109375" style="904" customWidth="1"/>
    <col min="7418" max="7418" width="2.28515625" style="904" customWidth="1"/>
    <col min="7419" max="7419" width="16.7109375" style="904" customWidth="1"/>
    <col min="7420" max="7420" width="3.140625" style="904" customWidth="1"/>
    <col min="7421" max="7421" width="2.85546875" style="904" customWidth="1"/>
    <col min="7422" max="7422" width="14.140625" style="904" customWidth="1"/>
    <col min="7423" max="7423" width="4.7109375" style="904" customWidth="1"/>
    <col min="7424" max="7425" width="3.140625" style="904" customWidth="1"/>
    <col min="7426" max="7426" width="14.140625" style="904" bestFit="1" customWidth="1"/>
    <col min="7427" max="7427" width="4.7109375" style="904" customWidth="1"/>
    <col min="7428" max="7429" width="9.140625" style="904"/>
    <col min="7430" max="7430" width="0" style="904" hidden="1" customWidth="1"/>
    <col min="7431" max="7668" width="9.140625" style="904"/>
    <col min="7669" max="7669" width="3.140625" style="904" customWidth="1"/>
    <col min="7670" max="7670" width="10.7109375" style="904" customWidth="1"/>
    <col min="7671" max="7671" width="2.7109375" style="904" customWidth="1"/>
    <col min="7672" max="7672" width="4.7109375" style="904" customWidth="1"/>
    <col min="7673" max="7673" width="10.7109375" style="904" customWidth="1"/>
    <col min="7674" max="7674" width="2.28515625" style="904" customWidth="1"/>
    <col min="7675" max="7675" width="16.7109375" style="904" customWidth="1"/>
    <col min="7676" max="7676" width="3.140625" style="904" customWidth="1"/>
    <col min="7677" max="7677" width="2.85546875" style="904" customWidth="1"/>
    <col min="7678" max="7678" width="14.140625" style="904" customWidth="1"/>
    <col min="7679" max="7679" width="4.7109375" style="904" customWidth="1"/>
    <col min="7680" max="7681" width="3.140625" style="904" customWidth="1"/>
    <col min="7682" max="7682" width="14.140625" style="904" bestFit="1" customWidth="1"/>
    <col min="7683" max="7683" width="4.7109375" style="904" customWidth="1"/>
    <col min="7684" max="7685" width="9.140625" style="904"/>
    <col min="7686" max="7686" width="0" style="904" hidden="1" customWidth="1"/>
    <col min="7687" max="7924" width="9.140625" style="904"/>
    <col min="7925" max="7925" width="3.140625" style="904" customWidth="1"/>
    <col min="7926" max="7926" width="10.7109375" style="904" customWidth="1"/>
    <col min="7927" max="7927" width="2.7109375" style="904" customWidth="1"/>
    <col min="7928" max="7928" width="4.7109375" style="904" customWidth="1"/>
    <col min="7929" max="7929" width="10.7109375" style="904" customWidth="1"/>
    <col min="7930" max="7930" width="2.28515625" style="904" customWidth="1"/>
    <col min="7931" max="7931" width="16.7109375" style="904" customWidth="1"/>
    <col min="7932" max="7932" width="3.140625" style="904" customWidth="1"/>
    <col min="7933" max="7933" width="2.85546875" style="904" customWidth="1"/>
    <col min="7934" max="7934" width="14.140625" style="904" customWidth="1"/>
    <col min="7935" max="7935" width="4.7109375" style="904" customWidth="1"/>
    <col min="7936" max="7937" width="3.140625" style="904" customWidth="1"/>
    <col min="7938" max="7938" width="14.140625" style="904" bestFit="1" customWidth="1"/>
    <col min="7939" max="7939" width="4.7109375" style="904" customWidth="1"/>
    <col min="7940" max="7941" width="9.140625" style="904"/>
    <col min="7942" max="7942" width="0" style="904" hidden="1" customWidth="1"/>
    <col min="7943" max="8180" width="9.140625" style="904"/>
    <col min="8181" max="8181" width="3.140625" style="904" customWidth="1"/>
    <col min="8182" max="8182" width="10.7109375" style="904" customWidth="1"/>
    <col min="8183" max="8183" width="2.7109375" style="904" customWidth="1"/>
    <col min="8184" max="8184" width="4.7109375" style="904" customWidth="1"/>
    <col min="8185" max="8185" width="10.7109375" style="904" customWidth="1"/>
    <col min="8186" max="8186" width="2.28515625" style="904" customWidth="1"/>
    <col min="8187" max="8187" width="16.7109375" style="904" customWidth="1"/>
    <col min="8188" max="8188" width="3.140625" style="904" customWidth="1"/>
    <col min="8189" max="8189" width="2.85546875" style="904" customWidth="1"/>
    <col min="8190" max="8190" width="14.140625" style="904" customWidth="1"/>
    <col min="8191" max="8191" width="4.7109375" style="904" customWidth="1"/>
    <col min="8192" max="8193" width="3.140625" style="904" customWidth="1"/>
    <col min="8194" max="8194" width="14.140625" style="904" bestFit="1" customWidth="1"/>
    <col min="8195" max="8195" width="4.7109375" style="904" customWidth="1"/>
    <col min="8196" max="8197" width="9.140625" style="904"/>
    <col min="8198" max="8198" width="0" style="904" hidden="1" customWidth="1"/>
    <col min="8199" max="8436" width="9.140625" style="904"/>
    <col min="8437" max="8437" width="3.140625" style="904" customWidth="1"/>
    <col min="8438" max="8438" width="10.7109375" style="904" customWidth="1"/>
    <col min="8439" max="8439" width="2.7109375" style="904" customWidth="1"/>
    <col min="8440" max="8440" width="4.7109375" style="904" customWidth="1"/>
    <col min="8441" max="8441" width="10.7109375" style="904" customWidth="1"/>
    <col min="8442" max="8442" width="2.28515625" style="904" customWidth="1"/>
    <col min="8443" max="8443" width="16.7109375" style="904" customWidth="1"/>
    <col min="8444" max="8444" width="3.140625" style="904" customWidth="1"/>
    <col min="8445" max="8445" width="2.85546875" style="904" customWidth="1"/>
    <col min="8446" max="8446" width="14.140625" style="904" customWidth="1"/>
    <col min="8447" max="8447" width="4.7109375" style="904" customWidth="1"/>
    <col min="8448" max="8449" width="3.140625" style="904" customWidth="1"/>
    <col min="8450" max="8450" width="14.140625" style="904" bestFit="1" customWidth="1"/>
    <col min="8451" max="8451" width="4.7109375" style="904" customWidth="1"/>
    <col min="8452" max="8453" width="9.140625" style="904"/>
    <col min="8454" max="8454" width="0" style="904" hidden="1" customWidth="1"/>
    <col min="8455" max="8692" width="9.140625" style="904"/>
    <col min="8693" max="8693" width="3.140625" style="904" customWidth="1"/>
    <col min="8694" max="8694" width="10.7109375" style="904" customWidth="1"/>
    <col min="8695" max="8695" width="2.7109375" style="904" customWidth="1"/>
    <col min="8696" max="8696" width="4.7109375" style="904" customWidth="1"/>
    <col min="8697" max="8697" width="10.7109375" style="904" customWidth="1"/>
    <col min="8698" max="8698" width="2.28515625" style="904" customWidth="1"/>
    <col min="8699" max="8699" width="16.7109375" style="904" customWidth="1"/>
    <col min="8700" max="8700" width="3.140625" style="904" customWidth="1"/>
    <col min="8701" max="8701" width="2.85546875" style="904" customWidth="1"/>
    <col min="8702" max="8702" width="14.140625" style="904" customWidth="1"/>
    <col min="8703" max="8703" width="4.7109375" style="904" customWidth="1"/>
    <col min="8704" max="8705" width="3.140625" style="904" customWidth="1"/>
    <col min="8706" max="8706" width="14.140625" style="904" bestFit="1" customWidth="1"/>
    <col min="8707" max="8707" width="4.7109375" style="904" customWidth="1"/>
    <col min="8708" max="8709" width="9.140625" style="904"/>
    <col min="8710" max="8710" width="0" style="904" hidden="1" customWidth="1"/>
    <col min="8711" max="8948" width="9.140625" style="904"/>
    <col min="8949" max="8949" width="3.140625" style="904" customWidth="1"/>
    <col min="8950" max="8950" width="10.7109375" style="904" customWidth="1"/>
    <col min="8951" max="8951" width="2.7109375" style="904" customWidth="1"/>
    <col min="8952" max="8952" width="4.7109375" style="904" customWidth="1"/>
    <col min="8953" max="8953" width="10.7109375" style="904" customWidth="1"/>
    <col min="8954" max="8954" width="2.28515625" style="904" customWidth="1"/>
    <col min="8955" max="8955" width="16.7109375" style="904" customWidth="1"/>
    <col min="8956" max="8956" width="3.140625" style="904" customWidth="1"/>
    <col min="8957" max="8957" width="2.85546875" style="904" customWidth="1"/>
    <col min="8958" max="8958" width="14.140625" style="904" customWidth="1"/>
    <col min="8959" max="8959" width="4.7109375" style="904" customWidth="1"/>
    <col min="8960" max="8961" width="3.140625" style="904" customWidth="1"/>
    <col min="8962" max="8962" width="14.140625" style="904" bestFit="1" customWidth="1"/>
    <col min="8963" max="8963" width="4.7109375" style="904" customWidth="1"/>
    <col min="8964" max="8965" width="9.140625" style="904"/>
    <col min="8966" max="8966" width="0" style="904" hidden="1" customWidth="1"/>
    <col min="8967" max="9204" width="9.140625" style="904"/>
    <col min="9205" max="9205" width="3.140625" style="904" customWidth="1"/>
    <col min="9206" max="9206" width="10.7109375" style="904" customWidth="1"/>
    <col min="9207" max="9207" width="2.7109375" style="904" customWidth="1"/>
    <col min="9208" max="9208" width="4.7109375" style="904" customWidth="1"/>
    <col min="9209" max="9209" width="10.7109375" style="904" customWidth="1"/>
    <col min="9210" max="9210" width="2.28515625" style="904" customWidth="1"/>
    <col min="9211" max="9211" width="16.7109375" style="904" customWidth="1"/>
    <col min="9212" max="9212" width="3.140625" style="904" customWidth="1"/>
    <col min="9213" max="9213" width="2.85546875" style="904" customWidth="1"/>
    <col min="9214" max="9214" width="14.140625" style="904" customWidth="1"/>
    <col min="9215" max="9215" width="4.7109375" style="904" customWidth="1"/>
    <col min="9216" max="9217" width="3.140625" style="904" customWidth="1"/>
    <col min="9218" max="9218" width="14.140625" style="904" bestFit="1" customWidth="1"/>
    <col min="9219" max="9219" width="4.7109375" style="904" customWidth="1"/>
    <col min="9220" max="9221" width="9.140625" style="904"/>
    <col min="9222" max="9222" width="0" style="904" hidden="1" customWidth="1"/>
    <col min="9223" max="9460" width="9.140625" style="904"/>
    <col min="9461" max="9461" width="3.140625" style="904" customWidth="1"/>
    <col min="9462" max="9462" width="10.7109375" style="904" customWidth="1"/>
    <col min="9463" max="9463" width="2.7109375" style="904" customWidth="1"/>
    <col min="9464" max="9464" width="4.7109375" style="904" customWidth="1"/>
    <col min="9465" max="9465" width="10.7109375" style="904" customWidth="1"/>
    <col min="9466" max="9466" width="2.28515625" style="904" customWidth="1"/>
    <col min="9467" max="9467" width="16.7109375" style="904" customWidth="1"/>
    <col min="9468" max="9468" width="3.140625" style="904" customWidth="1"/>
    <col min="9469" max="9469" width="2.85546875" style="904" customWidth="1"/>
    <col min="9470" max="9470" width="14.140625" style="904" customWidth="1"/>
    <col min="9471" max="9471" width="4.7109375" style="904" customWidth="1"/>
    <col min="9472" max="9473" width="3.140625" style="904" customWidth="1"/>
    <col min="9474" max="9474" width="14.140625" style="904" bestFit="1" customWidth="1"/>
    <col min="9475" max="9475" width="4.7109375" style="904" customWidth="1"/>
    <col min="9476" max="9477" width="9.140625" style="904"/>
    <col min="9478" max="9478" width="0" style="904" hidden="1" customWidth="1"/>
    <col min="9479" max="9716" width="9.140625" style="904"/>
    <col min="9717" max="9717" width="3.140625" style="904" customWidth="1"/>
    <col min="9718" max="9718" width="10.7109375" style="904" customWidth="1"/>
    <col min="9719" max="9719" width="2.7109375" style="904" customWidth="1"/>
    <col min="9720" max="9720" width="4.7109375" style="904" customWidth="1"/>
    <col min="9721" max="9721" width="10.7109375" style="904" customWidth="1"/>
    <col min="9722" max="9722" width="2.28515625" style="904" customWidth="1"/>
    <col min="9723" max="9723" width="16.7109375" style="904" customWidth="1"/>
    <col min="9724" max="9724" width="3.140625" style="904" customWidth="1"/>
    <col min="9725" max="9725" width="2.85546875" style="904" customWidth="1"/>
    <col min="9726" max="9726" width="14.140625" style="904" customWidth="1"/>
    <col min="9727" max="9727" width="4.7109375" style="904" customWidth="1"/>
    <col min="9728" max="9729" width="3.140625" style="904" customWidth="1"/>
    <col min="9730" max="9730" width="14.140625" style="904" bestFit="1" customWidth="1"/>
    <col min="9731" max="9731" width="4.7109375" style="904" customWidth="1"/>
    <col min="9732" max="9733" width="9.140625" style="904"/>
    <col min="9734" max="9734" width="0" style="904" hidden="1" customWidth="1"/>
    <col min="9735" max="9972" width="9.140625" style="904"/>
    <col min="9973" max="9973" width="3.140625" style="904" customWidth="1"/>
    <col min="9974" max="9974" width="10.7109375" style="904" customWidth="1"/>
    <col min="9975" max="9975" width="2.7109375" style="904" customWidth="1"/>
    <col min="9976" max="9976" width="4.7109375" style="904" customWidth="1"/>
    <col min="9977" max="9977" width="10.7109375" style="904" customWidth="1"/>
    <col min="9978" max="9978" width="2.28515625" style="904" customWidth="1"/>
    <col min="9979" max="9979" width="16.7109375" style="904" customWidth="1"/>
    <col min="9980" max="9980" width="3.140625" style="904" customWidth="1"/>
    <col min="9981" max="9981" width="2.85546875" style="904" customWidth="1"/>
    <col min="9982" max="9982" width="14.140625" style="904" customWidth="1"/>
    <col min="9983" max="9983" width="4.7109375" style="904" customWidth="1"/>
    <col min="9984" max="9985" width="3.140625" style="904" customWidth="1"/>
    <col min="9986" max="9986" width="14.140625" style="904" bestFit="1" customWidth="1"/>
    <col min="9987" max="9987" width="4.7109375" style="904" customWidth="1"/>
    <col min="9988" max="9989" width="9.140625" style="904"/>
    <col min="9990" max="9990" width="0" style="904" hidden="1" customWidth="1"/>
    <col min="9991" max="10228" width="9.140625" style="904"/>
    <col min="10229" max="10229" width="3.140625" style="904" customWidth="1"/>
    <col min="10230" max="10230" width="10.7109375" style="904" customWidth="1"/>
    <col min="10231" max="10231" width="2.7109375" style="904" customWidth="1"/>
    <col min="10232" max="10232" width="4.7109375" style="904" customWidth="1"/>
    <col min="10233" max="10233" width="10.7109375" style="904" customWidth="1"/>
    <col min="10234" max="10234" width="2.28515625" style="904" customWidth="1"/>
    <col min="10235" max="10235" width="16.7109375" style="904" customWidth="1"/>
    <col min="10236" max="10236" width="3.140625" style="904" customWidth="1"/>
    <col min="10237" max="10237" width="2.85546875" style="904" customWidth="1"/>
    <col min="10238" max="10238" width="14.140625" style="904" customWidth="1"/>
    <col min="10239" max="10239" width="4.7109375" style="904" customWidth="1"/>
    <col min="10240" max="10241" width="3.140625" style="904" customWidth="1"/>
    <col min="10242" max="10242" width="14.140625" style="904" bestFit="1" customWidth="1"/>
    <col min="10243" max="10243" width="4.7109375" style="904" customWidth="1"/>
    <col min="10244" max="10245" width="9.140625" style="904"/>
    <col min="10246" max="10246" width="0" style="904" hidden="1" customWidth="1"/>
    <col min="10247" max="10484" width="9.140625" style="904"/>
    <col min="10485" max="10485" width="3.140625" style="904" customWidth="1"/>
    <col min="10486" max="10486" width="10.7109375" style="904" customWidth="1"/>
    <col min="10487" max="10487" width="2.7109375" style="904" customWidth="1"/>
    <col min="10488" max="10488" width="4.7109375" style="904" customWidth="1"/>
    <col min="10489" max="10489" width="10.7109375" style="904" customWidth="1"/>
    <col min="10490" max="10490" width="2.28515625" style="904" customWidth="1"/>
    <col min="10491" max="10491" width="16.7109375" style="904" customWidth="1"/>
    <col min="10492" max="10492" width="3.140625" style="904" customWidth="1"/>
    <col min="10493" max="10493" width="2.85546875" style="904" customWidth="1"/>
    <col min="10494" max="10494" width="14.140625" style="904" customWidth="1"/>
    <col min="10495" max="10495" width="4.7109375" style="904" customWidth="1"/>
    <col min="10496" max="10497" width="3.140625" style="904" customWidth="1"/>
    <col min="10498" max="10498" width="14.140625" style="904" bestFit="1" customWidth="1"/>
    <col min="10499" max="10499" width="4.7109375" style="904" customWidth="1"/>
    <col min="10500" max="10501" width="9.140625" style="904"/>
    <col min="10502" max="10502" width="0" style="904" hidden="1" customWidth="1"/>
    <col min="10503" max="10740" width="9.140625" style="904"/>
    <col min="10741" max="10741" width="3.140625" style="904" customWidth="1"/>
    <col min="10742" max="10742" width="10.7109375" style="904" customWidth="1"/>
    <col min="10743" max="10743" width="2.7109375" style="904" customWidth="1"/>
    <col min="10744" max="10744" width="4.7109375" style="904" customWidth="1"/>
    <col min="10745" max="10745" width="10.7109375" style="904" customWidth="1"/>
    <col min="10746" max="10746" width="2.28515625" style="904" customWidth="1"/>
    <col min="10747" max="10747" width="16.7109375" style="904" customWidth="1"/>
    <col min="10748" max="10748" width="3.140625" style="904" customWidth="1"/>
    <col min="10749" max="10749" width="2.85546875" style="904" customWidth="1"/>
    <col min="10750" max="10750" width="14.140625" style="904" customWidth="1"/>
    <col min="10751" max="10751" width="4.7109375" style="904" customWidth="1"/>
    <col min="10752" max="10753" width="3.140625" style="904" customWidth="1"/>
    <col min="10754" max="10754" width="14.140625" style="904" bestFit="1" customWidth="1"/>
    <col min="10755" max="10755" width="4.7109375" style="904" customWidth="1"/>
    <col min="10756" max="10757" width="9.140625" style="904"/>
    <col min="10758" max="10758" width="0" style="904" hidden="1" customWidth="1"/>
    <col min="10759" max="10996" width="9.140625" style="904"/>
    <col min="10997" max="10997" width="3.140625" style="904" customWidth="1"/>
    <col min="10998" max="10998" width="10.7109375" style="904" customWidth="1"/>
    <col min="10999" max="10999" width="2.7109375" style="904" customWidth="1"/>
    <col min="11000" max="11000" width="4.7109375" style="904" customWidth="1"/>
    <col min="11001" max="11001" width="10.7109375" style="904" customWidth="1"/>
    <col min="11002" max="11002" width="2.28515625" style="904" customWidth="1"/>
    <col min="11003" max="11003" width="16.7109375" style="904" customWidth="1"/>
    <col min="11004" max="11004" width="3.140625" style="904" customWidth="1"/>
    <col min="11005" max="11005" width="2.85546875" style="904" customWidth="1"/>
    <col min="11006" max="11006" width="14.140625" style="904" customWidth="1"/>
    <col min="11007" max="11007" width="4.7109375" style="904" customWidth="1"/>
    <col min="11008" max="11009" width="3.140625" style="904" customWidth="1"/>
    <col min="11010" max="11010" width="14.140625" style="904" bestFit="1" customWidth="1"/>
    <col min="11011" max="11011" width="4.7109375" style="904" customWidth="1"/>
    <col min="11012" max="11013" width="9.140625" style="904"/>
    <col min="11014" max="11014" width="0" style="904" hidden="1" customWidth="1"/>
    <col min="11015" max="11252" width="9.140625" style="904"/>
    <col min="11253" max="11253" width="3.140625" style="904" customWidth="1"/>
    <col min="11254" max="11254" width="10.7109375" style="904" customWidth="1"/>
    <col min="11255" max="11255" width="2.7109375" style="904" customWidth="1"/>
    <col min="11256" max="11256" width="4.7109375" style="904" customWidth="1"/>
    <col min="11257" max="11257" width="10.7109375" style="904" customWidth="1"/>
    <col min="11258" max="11258" width="2.28515625" style="904" customWidth="1"/>
    <col min="11259" max="11259" width="16.7109375" style="904" customWidth="1"/>
    <col min="11260" max="11260" width="3.140625" style="904" customWidth="1"/>
    <col min="11261" max="11261" width="2.85546875" style="904" customWidth="1"/>
    <col min="11262" max="11262" width="14.140625" style="904" customWidth="1"/>
    <col min="11263" max="11263" width="4.7109375" style="904" customWidth="1"/>
    <col min="11264" max="11265" width="3.140625" style="904" customWidth="1"/>
    <col min="11266" max="11266" width="14.140625" style="904" bestFit="1" customWidth="1"/>
    <col min="11267" max="11267" width="4.7109375" style="904" customWidth="1"/>
    <col min="11268" max="11269" width="9.140625" style="904"/>
    <col min="11270" max="11270" width="0" style="904" hidden="1" customWidth="1"/>
    <col min="11271" max="11508" width="9.140625" style="904"/>
    <col min="11509" max="11509" width="3.140625" style="904" customWidth="1"/>
    <col min="11510" max="11510" width="10.7109375" style="904" customWidth="1"/>
    <col min="11511" max="11511" width="2.7109375" style="904" customWidth="1"/>
    <col min="11512" max="11512" width="4.7109375" style="904" customWidth="1"/>
    <col min="11513" max="11513" width="10.7109375" style="904" customWidth="1"/>
    <col min="11514" max="11514" width="2.28515625" style="904" customWidth="1"/>
    <col min="11515" max="11515" width="16.7109375" style="904" customWidth="1"/>
    <col min="11516" max="11516" width="3.140625" style="904" customWidth="1"/>
    <col min="11517" max="11517" width="2.85546875" style="904" customWidth="1"/>
    <col min="11518" max="11518" width="14.140625" style="904" customWidth="1"/>
    <col min="11519" max="11519" width="4.7109375" style="904" customWidth="1"/>
    <col min="11520" max="11521" width="3.140625" style="904" customWidth="1"/>
    <col min="11522" max="11522" width="14.140625" style="904" bestFit="1" customWidth="1"/>
    <col min="11523" max="11523" width="4.7109375" style="904" customWidth="1"/>
    <col min="11524" max="11525" width="9.140625" style="904"/>
    <col min="11526" max="11526" width="0" style="904" hidden="1" customWidth="1"/>
    <col min="11527" max="11764" width="9.140625" style="904"/>
    <col min="11765" max="11765" width="3.140625" style="904" customWidth="1"/>
    <col min="11766" max="11766" width="10.7109375" style="904" customWidth="1"/>
    <col min="11767" max="11767" width="2.7109375" style="904" customWidth="1"/>
    <col min="11768" max="11768" width="4.7109375" style="904" customWidth="1"/>
    <col min="11769" max="11769" width="10.7109375" style="904" customWidth="1"/>
    <col min="11770" max="11770" width="2.28515625" style="904" customWidth="1"/>
    <col min="11771" max="11771" width="16.7109375" style="904" customWidth="1"/>
    <col min="11772" max="11772" width="3.140625" style="904" customWidth="1"/>
    <col min="11773" max="11773" width="2.85546875" style="904" customWidth="1"/>
    <col min="11774" max="11774" width="14.140625" style="904" customWidth="1"/>
    <col min="11775" max="11775" width="4.7109375" style="904" customWidth="1"/>
    <col min="11776" max="11777" width="3.140625" style="904" customWidth="1"/>
    <col min="11778" max="11778" width="14.140625" style="904" bestFit="1" customWidth="1"/>
    <col min="11779" max="11779" width="4.7109375" style="904" customWidth="1"/>
    <col min="11780" max="11781" width="9.140625" style="904"/>
    <col min="11782" max="11782" width="0" style="904" hidden="1" customWidth="1"/>
    <col min="11783" max="12020" width="9.140625" style="904"/>
    <col min="12021" max="12021" width="3.140625" style="904" customWidth="1"/>
    <col min="12022" max="12022" width="10.7109375" style="904" customWidth="1"/>
    <col min="12023" max="12023" width="2.7109375" style="904" customWidth="1"/>
    <col min="12024" max="12024" width="4.7109375" style="904" customWidth="1"/>
    <col min="12025" max="12025" width="10.7109375" style="904" customWidth="1"/>
    <col min="12026" max="12026" width="2.28515625" style="904" customWidth="1"/>
    <col min="12027" max="12027" width="16.7109375" style="904" customWidth="1"/>
    <col min="12028" max="12028" width="3.140625" style="904" customWidth="1"/>
    <col min="12029" max="12029" width="2.85546875" style="904" customWidth="1"/>
    <col min="12030" max="12030" width="14.140625" style="904" customWidth="1"/>
    <col min="12031" max="12031" width="4.7109375" style="904" customWidth="1"/>
    <col min="12032" max="12033" width="3.140625" style="904" customWidth="1"/>
    <col min="12034" max="12034" width="14.140625" style="904" bestFit="1" customWidth="1"/>
    <col min="12035" max="12035" width="4.7109375" style="904" customWidth="1"/>
    <col min="12036" max="12037" width="9.140625" style="904"/>
    <col min="12038" max="12038" width="0" style="904" hidden="1" customWidth="1"/>
    <col min="12039" max="12276" width="9.140625" style="904"/>
    <col min="12277" max="12277" width="3.140625" style="904" customWidth="1"/>
    <col min="12278" max="12278" width="10.7109375" style="904" customWidth="1"/>
    <col min="12279" max="12279" width="2.7109375" style="904" customWidth="1"/>
    <col min="12280" max="12280" width="4.7109375" style="904" customWidth="1"/>
    <col min="12281" max="12281" width="10.7109375" style="904" customWidth="1"/>
    <col min="12282" max="12282" width="2.28515625" style="904" customWidth="1"/>
    <col min="12283" max="12283" width="16.7109375" style="904" customWidth="1"/>
    <col min="12284" max="12284" width="3.140625" style="904" customWidth="1"/>
    <col min="12285" max="12285" width="2.85546875" style="904" customWidth="1"/>
    <col min="12286" max="12286" width="14.140625" style="904" customWidth="1"/>
    <col min="12287" max="12287" width="4.7109375" style="904" customWidth="1"/>
    <col min="12288" max="12289" width="3.140625" style="904" customWidth="1"/>
    <col min="12290" max="12290" width="14.140625" style="904" bestFit="1" customWidth="1"/>
    <col min="12291" max="12291" width="4.7109375" style="904" customWidth="1"/>
    <col min="12292" max="12293" width="9.140625" style="904"/>
    <col min="12294" max="12294" width="0" style="904" hidden="1" customWidth="1"/>
    <col min="12295" max="12532" width="9.140625" style="904"/>
    <col min="12533" max="12533" width="3.140625" style="904" customWidth="1"/>
    <col min="12534" max="12534" width="10.7109375" style="904" customWidth="1"/>
    <col min="12535" max="12535" width="2.7109375" style="904" customWidth="1"/>
    <col min="12536" max="12536" width="4.7109375" style="904" customWidth="1"/>
    <col min="12537" max="12537" width="10.7109375" style="904" customWidth="1"/>
    <col min="12538" max="12538" width="2.28515625" style="904" customWidth="1"/>
    <col min="12539" max="12539" width="16.7109375" style="904" customWidth="1"/>
    <col min="12540" max="12540" width="3.140625" style="904" customWidth="1"/>
    <col min="12541" max="12541" width="2.85546875" style="904" customWidth="1"/>
    <col min="12542" max="12542" width="14.140625" style="904" customWidth="1"/>
    <col min="12543" max="12543" width="4.7109375" style="904" customWidth="1"/>
    <col min="12544" max="12545" width="3.140625" style="904" customWidth="1"/>
    <col min="12546" max="12546" width="14.140625" style="904" bestFit="1" customWidth="1"/>
    <col min="12547" max="12547" width="4.7109375" style="904" customWidth="1"/>
    <col min="12548" max="12549" width="9.140625" style="904"/>
    <col min="12550" max="12550" width="0" style="904" hidden="1" customWidth="1"/>
    <col min="12551" max="12788" width="9.140625" style="904"/>
    <col min="12789" max="12789" width="3.140625" style="904" customWidth="1"/>
    <col min="12790" max="12790" width="10.7109375" style="904" customWidth="1"/>
    <col min="12791" max="12791" width="2.7109375" style="904" customWidth="1"/>
    <col min="12792" max="12792" width="4.7109375" style="904" customWidth="1"/>
    <col min="12793" max="12793" width="10.7109375" style="904" customWidth="1"/>
    <col min="12794" max="12794" width="2.28515625" style="904" customWidth="1"/>
    <col min="12795" max="12795" width="16.7109375" style="904" customWidth="1"/>
    <col min="12796" max="12796" width="3.140625" style="904" customWidth="1"/>
    <col min="12797" max="12797" width="2.85546875" style="904" customWidth="1"/>
    <col min="12798" max="12798" width="14.140625" style="904" customWidth="1"/>
    <col min="12799" max="12799" width="4.7109375" style="904" customWidth="1"/>
    <col min="12800" max="12801" width="3.140625" style="904" customWidth="1"/>
    <col min="12802" max="12802" width="14.140625" style="904" bestFit="1" customWidth="1"/>
    <col min="12803" max="12803" width="4.7109375" style="904" customWidth="1"/>
    <col min="12804" max="12805" width="9.140625" style="904"/>
    <col min="12806" max="12806" width="0" style="904" hidden="1" customWidth="1"/>
    <col min="12807" max="13044" width="9.140625" style="904"/>
    <col min="13045" max="13045" width="3.140625" style="904" customWidth="1"/>
    <col min="13046" max="13046" width="10.7109375" style="904" customWidth="1"/>
    <col min="13047" max="13047" width="2.7109375" style="904" customWidth="1"/>
    <col min="13048" max="13048" width="4.7109375" style="904" customWidth="1"/>
    <col min="13049" max="13049" width="10.7109375" style="904" customWidth="1"/>
    <col min="13050" max="13050" width="2.28515625" style="904" customWidth="1"/>
    <col min="13051" max="13051" width="16.7109375" style="904" customWidth="1"/>
    <col min="13052" max="13052" width="3.140625" style="904" customWidth="1"/>
    <col min="13053" max="13053" width="2.85546875" style="904" customWidth="1"/>
    <col min="13054" max="13054" width="14.140625" style="904" customWidth="1"/>
    <col min="13055" max="13055" width="4.7109375" style="904" customWidth="1"/>
    <col min="13056" max="13057" width="3.140625" style="904" customWidth="1"/>
    <col min="13058" max="13058" width="14.140625" style="904" bestFit="1" customWidth="1"/>
    <col min="13059" max="13059" width="4.7109375" style="904" customWidth="1"/>
    <col min="13060" max="13061" width="9.140625" style="904"/>
    <col min="13062" max="13062" width="0" style="904" hidden="1" customWidth="1"/>
    <col min="13063" max="13300" width="9.140625" style="904"/>
    <col min="13301" max="13301" width="3.140625" style="904" customWidth="1"/>
    <col min="13302" max="13302" width="10.7109375" style="904" customWidth="1"/>
    <col min="13303" max="13303" width="2.7109375" style="904" customWidth="1"/>
    <col min="13304" max="13304" width="4.7109375" style="904" customWidth="1"/>
    <col min="13305" max="13305" width="10.7109375" style="904" customWidth="1"/>
    <col min="13306" max="13306" width="2.28515625" style="904" customWidth="1"/>
    <col min="13307" max="13307" width="16.7109375" style="904" customWidth="1"/>
    <col min="13308" max="13308" width="3.140625" style="904" customWidth="1"/>
    <col min="13309" max="13309" width="2.85546875" style="904" customWidth="1"/>
    <col min="13310" max="13310" width="14.140625" style="904" customWidth="1"/>
    <col min="13311" max="13311" width="4.7109375" style="904" customWidth="1"/>
    <col min="13312" max="13313" width="3.140625" style="904" customWidth="1"/>
    <col min="13314" max="13314" width="14.140625" style="904" bestFit="1" customWidth="1"/>
    <col min="13315" max="13315" width="4.7109375" style="904" customWidth="1"/>
    <col min="13316" max="13317" width="9.140625" style="904"/>
    <col min="13318" max="13318" width="0" style="904" hidden="1" customWidth="1"/>
    <col min="13319" max="13556" width="9.140625" style="904"/>
    <col min="13557" max="13557" width="3.140625" style="904" customWidth="1"/>
    <col min="13558" max="13558" width="10.7109375" style="904" customWidth="1"/>
    <col min="13559" max="13559" width="2.7109375" style="904" customWidth="1"/>
    <col min="13560" max="13560" width="4.7109375" style="904" customWidth="1"/>
    <col min="13561" max="13561" width="10.7109375" style="904" customWidth="1"/>
    <col min="13562" max="13562" width="2.28515625" style="904" customWidth="1"/>
    <col min="13563" max="13563" width="16.7109375" style="904" customWidth="1"/>
    <col min="13564" max="13564" width="3.140625" style="904" customWidth="1"/>
    <col min="13565" max="13565" width="2.85546875" style="904" customWidth="1"/>
    <col min="13566" max="13566" width="14.140625" style="904" customWidth="1"/>
    <col min="13567" max="13567" width="4.7109375" style="904" customWidth="1"/>
    <col min="13568" max="13569" width="3.140625" style="904" customWidth="1"/>
    <col min="13570" max="13570" width="14.140625" style="904" bestFit="1" customWidth="1"/>
    <col min="13571" max="13571" width="4.7109375" style="904" customWidth="1"/>
    <col min="13572" max="13573" width="9.140625" style="904"/>
    <col min="13574" max="13574" width="0" style="904" hidden="1" customWidth="1"/>
    <col min="13575" max="13812" width="9.140625" style="904"/>
    <col min="13813" max="13813" width="3.140625" style="904" customWidth="1"/>
    <col min="13814" max="13814" width="10.7109375" style="904" customWidth="1"/>
    <col min="13815" max="13815" width="2.7109375" style="904" customWidth="1"/>
    <col min="13816" max="13816" width="4.7109375" style="904" customWidth="1"/>
    <col min="13817" max="13817" width="10.7109375" style="904" customWidth="1"/>
    <col min="13818" max="13818" width="2.28515625" style="904" customWidth="1"/>
    <col min="13819" max="13819" width="16.7109375" style="904" customWidth="1"/>
    <col min="13820" max="13820" width="3.140625" style="904" customWidth="1"/>
    <col min="13821" max="13821" width="2.85546875" style="904" customWidth="1"/>
    <col min="13822" max="13822" width="14.140625" style="904" customWidth="1"/>
    <col min="13823" max="13823" width="4.7109375" style="904" customWidth="1"/>
    <col min="13824" max="13825" width="3.140625" style="904" customWidth="1"/>
    <col min="13826" max="13826" width="14.140625" style="904" bestFit="1" customWidth="1"/>
    <col min="13827" max="13827" width="4.7109375" style="904" customWidth="1"/>
    <col min="13828" max="13829" width="9.140625" style="904"/>
    <col min="13830" max="13830" width="0" style="904" hidden="1" customWidth="1"/>
    <col min="13831" max="14068" width="9.140625" style="904"/>
    <col min="14069" max="14069" width="3.140625" style="904" customWidth="1"/>
    <col min="14070" max="14070" width="10.7109375" style="904" customWidth="1"/>
    <col min="14071" max="14071" width="2.7109375" style="904" customWidth="1"/>
    <col min="14072" max="14072" width="4.7109375" style="904" customWidth="1"/>
    <col min="14073" max="14073" width="10.7109375" style="904" customWidth="1"/>
    <col min="14074" max="14074" width="2.28515625" style="904" customWidth="1"/>
    <col min="14075" max="14075" width="16.7109375" style="904" customWidth="1"/>
    <col min="14076" max="14076" width="3.140625" style="904" customWidth="1"/>
    <col min="14077" max="14077" width="2.85546875" style="904" customWidth="1"/>
    <col min="14078" max="14078" width="14.140625" style="904" customWidth="1"/>
    <col min="14079" max="14079" width="4.7109375" style="904" customWidth="1"/>
    <col min="14080" max="14081" width="3.140625" style="904" customWidth="1"/>
    <col min="14082" max="14082" width="14.140625" style="904" bestFit="1" customWidth="1"/>
    <col min="14083" max="14083" width="4.7109375" style="904" customWidth="1"/>
    <col min="14084" max="14085" width="9.140625" style="904"/>
    <col min="14086" max="14086" width="0" style="904" hidden="1" customWidth="1"/>
    <col min="14087" max="14324" width="9.140625" style="904"/>
    <col min="14325" max="14325" width="3.140625" style="904" customWidth="1"/>
    <col min="14326" max="14326" width="10.7109375" style="904" customWidth="1"/>
    <col min="14327" max="14327" width="2.7109375" style="904" customWidth="1"/>
    <col min="14328" max="14328" width="4.7109375" style="904" customWidth="1"/>
    <col min="14329" max="14329" width="10.7109375" style="904" customWidth="1"/>
    <col min="14330" max="14330" width="2.28515625" style="904" customWidth="1"/>
    <col min="14331" max="14331" width="16.7109375" style="904" customWidth="1"/>
    <col min="14332" max="14332" width="3.140625" style="904" customWidth="1"/>
    <col min="14333" max="14333" width="2.85546875" style="904" customWidth="1"/>
    <col min="14334" max="14334" width="14.140625" style="904" customWidth="1"/>
    <col min="14335" max="14335" width="4.7109375" style="904" customWidth="1"/>
    <col min="14336" max="14337" width="3.140625" style="904" customWidth="1"/>
    <col min="14338" max="14338" width="14.140625" style="904" bestFit="1" customWidth="1"/>
    <col min="14339" max="14339" width="4.7109375" style="904" customWidth="1"/>
    <col min="14340" max="14341" width="9.140625" style="904"/>
    <col min="14342" max="14342" width="0" style="904" hidden="1" customWidth="1"/>
    <col min="14343" max="14580" width="9.140625" style="904"/>
    <col min="14581" max="14581" width="3.140625" style="904" customWidth="1"/>
    <col min="14582" max="14582" width="10.7109375" style="904" customWidth="1"/>
    <col min="14583" max="14583" width="2.7109375" style="904" customWidth="1"/>
    <col min="14584" max="14584" width="4.7109375" style="904" customWidth="1"/>
    <col min="14585" max="14585" width="10.7109375" style="904" customWidth="1"/>
    <col min="14586" max="14586" width="2.28515625" style="904" customWidth="1"/>
    <col min="14587" max="14587" width="16.7109375" style="904" customWidth="1"/>
    <col min="14588" max="14588" width="3.140625" style="904" customWidth="1"/>
    <col min="14589" max="14589" width="2.85546875" style="904" customWidth="1"/>
    <col min="14590" max="14590" width="14.140625" style="904" customWidth="1"/>
    <col min="14591" max="14591" width="4.7109375" style="904" customWidth="1"/>
    <col min="14592" max="14593" width="3.140625" style="904" customWidth="1"/>
    <col min="14594" max="14594" width="14.140625" style="904" bestFit="1" customWidth="1"/>
    <col min="14595" max="14595" width="4.7109375" style="904" customWidth="1"/>
    <col min="14596" max="14597" width="9.140625" style="904"/>
    <col min="14598" max="14598" width="0" style="904" hidden="1" customWidth="1"/>
    <col min="14599" max="14836" width="9.140625" style="904"/>
    <col min="14837" max="14837" width="3.140625" style="904" customWidth="1"/>
    <col min="14838" max="14838" width="10.7109375" style="904" customWidth="1"/>
    <col min="14839" max="14839" width="2.7109375" style="904" customWidth="1"/>
    <col min="14840" max="14840" width="4.7109375" style="904" customWidth="1"/>
    <col min="14841" max="14841" width="10.7109375" style="904" customWidth="1"/>
    <col min="14842" max="14842" width="2.28515625" style="904" customWidth="1"/>
    <col min="14843" max="14843" width="16.7109375" style="904" customWidth="1"/>
    <col min="14844" max="14844" width="3.140625" style="904" customWidth="1"/>
    <col min="14845" max="14845" width="2.85546875" style="904" customWidth="1"/>
    <col min="14846" max="14846" width="14.140625" style="904" customWidth="1"/>
    <col min="14847" max="14847" width="4.7109375" style="904" customWidth="1"/>
    <col min="14848" max="14849" width="3.140625" style="904" customWidth="1"/>
    <col min="14850" max="14850" width="14.140625" style="904" bestFit="1" customWidth="1"/>
    <col min="14851" max="14851" width="4.7109375" style="904" customWidth="1"/>
    <col min="14852" max="14853" width="9.140625" style="904"/>
    <col min="14854" max="14854" width="0" style="904" hidden="1" customWidth="1"/>
    <col min="14855" max="15092" width="9.140625" style="904"/>
    <col min="15093" max="15093" width="3.140625" style="904" customWidth="1"/>
    <col min="15094" max="15094" width="10.7109375" style="904" customWidth="1"/>
    <col min="15095" max="15095" width="2.7109375" style="904" customWidth="1"/>
    <col min="15096" max="15096" width="4.7109375" style="904" customWidth="1"/>
    <col min="15097" max="15097" width="10.7109375" style="904" customWidth="1"/>
    <col min="15098" max="15098" width="2.28515625" style="904" customWidth="1"/>
    <col min="15099" max="15099" width="16.7109375" style="904" customWidth="1"/>
    <col min="15100" max="15100" width="3.140625" style="904" customWidth="1"/>
    <col min="15101" max="15101" width="2.85546875" style="904" customWidth="1"/>
    <col min="15102" max="15102" width="14.140625" style="904" customWidth="1"/>
    <col min="15103" max="15103" width="4.7109375" style="904" customWidth="1"/>
    <col min="15104" max="15105" width="3.140625" style="904" customWidth="1"/>
    <col min="15106" max="15106" width="14.140625" style="904" bestFit="1" customWidth="1"/>
    <col min="15107" max="15107" width="4.7109375" style="904" customWidth="1"/>
    <col min="15108" max="15109" width="9.140625" style="904"/>
    <col min="15110" max="15110" width="0" style="904" hidden="1" customWidth="1"/>
    <col min="15111" max="15348" width="9.140625" style="904"/>
    <col min="15349" max="15349" width="3.140625" style="904" customWidth="1"/>
    <col min="15350" max="15350" width="10.7109375" style="904" customWidth="1"/>
    <col min="15351" max="15351" width="2.7109375" style="904" customWidth="1"/>
    <col min="15352" max="15352" width="4.7109375" style="904" customWidth="1"/>
    <col min="15353" max="15353" width="10.7109375" style="904" customWidth="1"/>
    <col min="15354" max="15354" width="2.28515625" style="904" customWidth="1"/>
    <col min="15355" max="15355" width="16.7109375" style="904" customWidth="1"/>
    <col min="15356" max="15356" width="3.140625" style="904" customWidth="1"/>
    <col min="15357" max="15357" width="2.85546875" style="904" customWidth="1"/>
    <col min="15358" max="15358" width="14.140625" style="904" customWidth="1"/>
    <col min="15359" max="15359" width="4.7109375" style="904" customWidth="1"/>
    <col min="15360" max="15361" width="3.140625" style="904" customWidth="1"/>
    <col min="15362" max="15362" width="14.140625" style="904" bestFit="1" customWidth="1"/>
    <col min="15363" max="15363" width="4.7109375" style="904" customWidth="1"/>
    <col min="15364" max="15365" width="9.140625" style="904"/>
    <col min="15366" max="15366" width="0" style="904" hidden="1" customWidth="1"/>
    <col min="15367" max="15604" width="9.140625" style="904"/>
    <col min="15605" max="15605" width="3.140625" style="904" customWidth="1"/>
    <col min="15606" max="15606" width="10.7109375" style="904" customWidth="1"/>
    <col min="15607" max="15607" width="2.7109375" style="904" customWidth="1"/>
    <col min="15608" max="15608" width="4.7109375" style="904" customWidth="1"/>
    <col min="15609" max="15609" width="10.7109375" style="904" customWidth="1"/>
    <col min="15610" max="15610" width="2.28515625" style="904" customWidth="1"/>
    <col min="15611" max="15611" width="16.7109375" style="904" customWidth="1"/>
    <col min="15612" max="15612" width="3.140625" style="904" customWidth="1"/>
    <col min="15613" max="15613" width="2.85546875" style="904" customWidth="1"/>
    <col min="15614" max="15614" width="14.140625" style="904" customWidth="1"/>
    <col min="15615" max="15615" width="4.7109375" style="904" customWidth="1"/>
    <col min="15616" max="15617" width="3.140625" style="904" customWidth="1"/>
    <col min="15618" max="15618" width="14.140625" style="904" bestFit="1" customWidth="1"/>
    <col min="15619" max="15619" width="4.7109375" style="904" customWidth="1"/>
    <col min="15620" max="15621" width="9.140625" style="904"/>
    <col min="15622" max="15622" width="0" style="904" hidden="1" customWidth="1"/>
    <col min="15623" max="15860" width="9.140625" style="904"/>
    <col min="15861" max="15861" width="3.140625" style="904" customWidth="1"/>
    <col min="15862" max="15862" width="10.7109375" style="904" customWidth="1"/>
    <col min="15863" max="15863" width="2.7109375" style="904" customWidth="1"/>
    <col min="15864" max="15864" width="4.7109375" style="904" customWidth="1"/>
    <col min="15865" max="15865" width="10.7109375" style="904" customWidth="1"/>
    <col min="15866" max="15866" width="2.28515625" style="904" customWidth="1"/>
    <col min="15867" max="15867" width="16.7109375" style="904" customWidth="1"/>
    <col min="15868" max="15868" width="3.140625" style="904" customWidth="1"/>
    <col min="15869" max="15869" width="2.85546875" style="904" customWidth="1"/>
    <col min="15870" max="15870" width="14.140625" style="904" customWidth="1"/>
    <col min="15871" max="15871" width="4.7109375" style="904" customWidth="1"/>
    <col min="15872" max="15873" width="3.140625" style="904" customWidth="1"/>
    <col min="15874" max="15874" width="14.140625" style="904" bestFit="1" customWidth="1"/>
    <col min="15875" max="15875" width="4.7109375" style="904" customWidth="1"/>
    <col min="15876" max="15877" width="9.140625" style="904"/>
    <col min="15878" max="15878" width="0" style="904" hidden="1" customWidth="1"/>
    <col min="15879" max="16116" width="9.140625" style="904"/>
    <col min="16117" max="16117" width="3.140625" style="904" customWidth="1"/>
    <col min="16118" max="16118" width="10.7109375" style="904" customWidth="1"/>
    <col min="16119" max="16119" width="2.7109375" style="904" customWidth="1"/>
    <col min="16120" max="16120" width="4.7109375" style="904" customWidth="1"/>
    <col min="16121" max="16121" width="10.7109375" style="904" customWidth="1"/>
    <col min="16122" max="16122" width="2.28515625" style="904" customWidth="1"/>
    <col min="16123" max="16123" width="16.7109375" style="904" customWidth="1"/>
    <col min="16124" max="16124" width="3.140625" style="904" customWidth="1"/>
    <col min="16125" max="16125" width="2.85546875" style="904" customWidth="1"/>
    <col min="16126" max="16126" width="14.140625" style="904" customWidth="1"/>
    <col min="16127" max="16127" width="4.7109375" style="904" customWidth="1"/>
    <col min="16128" max="16129" width="3.140625" style="904" customWidth="1"/>
    <col min="16130" max="16130" width="14.140625" style="904" bestFit="1" customWidth="1"/>
    <col min="16131" max="16131" width="4.7109375" style="904" customWidth="1"/>
    <col min="16132" max="16133" width="9.140625" style="904"/>
    <col min="16134" max="16134" width="0" style="904" hidden="1" customWidth="1"/>
    <col min="16135" max="16384" width="9.140625" style="904"/>
  </cols>
  <sheetData>
    <row r="1" spans="1:8">
      <c r="A1" s="905" t="s">
        <v>1251</v>
      </c>
      <c r="B1" s="946">
        <f>'مدخلات العقود'!$B$9</f>
        <v>0</v>
      </c>
      <c r="C1" s="906"/>
      <c r="D1" s="905" t="s">
        <v>1287</v>
      </c>
      <c r="E1" s="1726" t="s">
        <v>1345</v>
      </c>
      <c r="F1" s="1727"/>
    </row>
    <row r="2" spans="1:8" ht="15.75">
      <c r="A2" s="907" t="s">
        <v>1253</v>
      </c>
      <c r="B2" s="947">
        <f>'مدخلات العقود'!$B$2</f>
        <v>0</v>
      </c>
      <c r="C2" s="906"/>
      <c r="D2" s="907" t="s">
        <v>1254</v>
      </c>
      <c r="E2" s="1728"/>
      <c r="F2" s="1729"/>
      <c r="H2" s="948" t="s">
        <v>1252</v>
      </c>
    </row>
    <row r="3" spans="1:8">
      <c r="H3" s="948" t="s">
        <v>1288</v>
      </c>
    </row>
    <row r="4" spans="1:8" s="909" customFormat="1">
      <c r="A4" s="1730" t="s">
        <v>1283</v>
      </c>
      <c r="B4" s="1731"/>
      <c r="C4" s="1732"/>
      <c r="D4" s="908" t="s">
        <v>1260</v>
      </c>
      <c r="E4" s="965" t="s">
        <v>1284</v>
      </c>
      <c r="F4" s="908" t="str">
        <f>"PMT ("&amp;IF(FC=USD,"USD",IF(FC=ILS,"ILS",IF(FC=EUR,"EUR")))&amp;")"</f>
        <v>PMT (USD)</v>
      </c>
    </row>
    <row r="5" spans="1:8" ht="18" customHeight="1">
      <c r="A5" s="1743" t="str">
        <f>IF('جدول السداد'!A39=0,"",'جدول السداد'!A39)&amp;" |S.N. "&amp;IF('جدول السداد'!F39=0,"",'جدول السداد'!F39)</f>
        <v xml:space="preserve"> |S.N. </v>
      </c>
      <c r="B5" s="1743"/>
      <c r="C5" s="1743"/>
      <c r="D5" s="966"/>
      <c r="E5" s="1025">
        <f>'مدخلات العقود'!$F$10</f>
        <v>0</v>
      </c>
      <c r="F5" s="969">
        <f>'مدخلات العقود'!$J$10</f>
        <v>0</v>
      </c>
    </row>
    <row r="6" spans="1:8" ht="18" customHeight="1">
      <c r="A6" s="1744" t="str">
        <f>IF('جدول السداد'!A40=0,"",'جدول السداد'!A40)&amp;" |S.N. "&amp;IF('جدول السداد'!F40=0,"",'جدول السداد'!F40)</f>
        <v xml:space="preserve"> |S.N. </v>
      </c>
      <c r="B6" s="1744"/>
      <c r="C6" s="1744"/>
      <c r="D6" s="967"/>
      <c r="E6" s="970"/>
      <c r="F6" s="970"/>
    </row>
    <row r="7" spans="1:8" ht="18" customHeight="1">
      <c r="A7" s="1744" t="str">
        <f>IF('جدول السداد'!A41=0,"",'جدول السداد'!A41)&amp;" |S.N. "&amp;IF('جدول السداد'!F41=0,"",'جدول السداد'!F41)</f>
        <v xml:space="preserve"> |S.N. </v>
      </c>
      <c r="B7" s="1744"/>
      <c r="C7" s="1744"/>
      <c r="D7" s="967"/>
      <c r="E7" s="970"/>
      <c r="F7" s="970"/>
    </row>
    <row r="8" spans="1:8" ht="18" customHeight="1">
      <c r="A8" s="1744" t="str">
        <f>IF('جدول السداد'!A42=0,"",'جدول السداد'!A42)&amp;" |S.N. "&amp;IF('جدول السداد'!F42=0,"",'جدول السداد'!F42)</f>
        <v xml:space="preserve"> |S.N. </v>
      </c>
      <c r="B8" s="1744"/>
      <c r="C8" s="1744"/>
      <c r="D8" s="967"/>
      <c r="E8" s="970"/>
      <c r="F8" s="970"/>
    </row>
    <row r="9" spans="1:8" ht="18" customHeight="1">
      <c r="A9" s="1742" t="str">
        <f>IF('جدول السداد'!A43=0,"",'جدول السداد'!A43)&amp;" |S.N. "&amp;IF('جدول السداد'!F43=0,"",'جدول السداد'!F43)</f>
        <v xml:space="preserve"> |S.N. </v>
      </c>
      <c r="B9" s="1742"/>
      <c r="C9" s="1742"/>
      <c r="D9" s="968"/>
      <c r="E9" s="971"/>
      <c r="F9" s="971"/>
    </row>
    <row r="10" spans="1:8" ht="15.75">
      <c r="A10" s="1730" t="s">
        <v>5</v>
      </c>
      <c r="B10" s="1731"/>
      <c r="C10" s="1731"/>
      <c r="D10" s="1732"/>
      <c r="E10" s="973">
        <f>SUM(E5:E9)</f>
        <v>0</v>
      </c>
      <c r="F10" s="972">
        <f>SUM(F5:F9)</f>
        <v>0</v>
      </c>
    </row>
    <row r="11" spans="1:8" ht="14.1" customHeight="1">
      <c r="A11" s="910"/>
      <c r="B11" s="910"/>
      <c r="C11" s="910"/>
      <c r="D11" s="910"/>
      <c r="E11" s="911"/>
      <c r="F11" s="911"/>
    </row>
    <row r="12" spans="1:8" ht="15" customHeight="1">
      <c r="A12" s="1737" t="str">
        <f>"Contract# "&amp;'مدخلات العقود'!J14</f>
        <v xml:space="preserve">Contract# </v>
      </c>
      <c r="B12" s="1738"/>
      <c r="C12" s="1739"/>
      <c r="D12" s="1734" t="str">
        <f>"Client's lease limit = "&amp;IF(FC=USD,"USD ",IF(FC=ILS,"ILS ",IF(FC=EUR,"EUR ")))&amp;TEXT('مدخلات العقود'!$J$10,"0,0")</f>
        <v>Client's lease limit = USD 00</v>
      </c>
      <c r="E12" s="1735"/>
      <c r="F12" s="1736"/>
    </row>
    <row r="13" spans="1:8">
      <c r="A13" s="910"/>
      <c r="B13" s="910"/>
      <c r="C13" s="910"/>
      <c r="D13" s="910"/>
      <c r="E13" s="911"/>
      <c r="F13" s="911"/>
    </row>
    <row r="14" spans="1:8">
      <c r="A14" s="1730" t="s">
        <v>1255</v>
      </c>
      <c r="B14" s="1731"/>
      <c r="C14" s="1731"/>
      <c r="D14" s="1731"/>
      <c r="E14" s="1731"/>
      <c r="F14" s="1732"/>
    </row>
    <row r="15" spans="1:8" ht="18" customHeight="1">
      <c r="A15" s="1714"/>
      <c r="B15" s="1715"/>
      <c r="C15" s="1715"/>
      <c r="D15" s="1715"/>
      <c r="E15" s="1715"/>
      <c r="F15" s="1716"/>
    </row>
    <row r="16" spans="1:8" ht="18" customHeight="1">
      <c r="A16" s="1714"/>
      <c r="B16" s="1715"/>
      <c r="C16" s="1715"/>
      <c r="D16" s="1715"/>
      <c r="E16" s="1715"/>
      <c r="F16" s="1716"/>
    </row>
    <row r="17" spans="1:6" ht="18" customHeight="1">
      <c r="A17" s="1714"/>
      <c r="B17" s="1715"/>
      <c r="C17" s="1715"/>
      <c r="D17" s="1715"/>
      <c r="E17" s="1715"/>
      <c r="F17" s="1716"/>
    </row>
    <row r="18" spans="1:6" ht="18" customHeight="1">
      <c r="A18" s="1714"/>
      <c r="B18" s="1715"/>
      <c r="C18" s="1715"/>
      <c r="D18" s="1715"/>
      <c r="E18" s="1715"/>
      <c r="F18" s="1716"/>
    </row>
    <row r="19" spans="1:6" ht="18" customHeight="1">
      <c r="A19" s="1717"/>
      <c r="B19" s="1718"/>
      <c r="C19" s="1718"/>
      <c r="D19" s="1718"/>
      <c r="E19" s="1718"/>
      <c r="F19" s="1719"/>
    </row>
    <row r="21" spans="1:6">
      <c r="A21" s="1720" t="s">
        <v>1257</v>
      </c>
      <c r="B21" s="1721"/>
      <c r="C21" s="1722"/>
      <c r="D21" s="1720" t="s">
        <v>1256</v>
      </c>
      <c r="E21" s="1721"/>
      <c r="F21" s="1722"/>
    </row>
    <row r="22" spans="1:6">
      <c r="A22" s="912" t="s">
        <v>1261</v>
      </c>
      <c r="B22" s="1723" t="s">
        <v>1262</v>
      </c>
      <c r="C22" s="1723"/>
      <c r="D22" s="913" t="s">
        <v>1259</v>
      </c>
      <c r="E22" s="1723" t="s">
        <v>1258</v>
      </c>
      <c r="F22" s="1733"/>
    </row>
    <row r="23" spans="1:6" ht="15" customHeight="1">
      <c r="A23" s="914" t="str">
        <f>التوصية!$B$3</f>
        <v>عواطف مصطفى</v>
      </c>
      <c r="B23" s="915"/>
      <c r="C23" s="915"/>
      <c r="D23" s="930"/>
      <c r="E23" s="931"/>
      <c r="F23" s="932"/>
    </row>
    <row r="24" spans="1:6">
      <c r="A24" s="1720" t="s">
        <v>1285</v>
      </c>
      <c r="B24" s="1721"/>
      <c r="C24" s="1722"/>
      <c r="D24" s="922" t="s">
        <v>1264</v>
      </c>
      <c r="E24" s="923" t="s">
        <v>1280</v>
      </c>
      <c r="F24" s="924" t="s">
        <v>1263</v>
      </c>
    </row>
    <row r="25" spans="1:6">
      <c r="A25" s="928" t="s">
        <v>1286</v>
      </c>
      <c r="B25" s="901" t="s">
        <v>1282</v>
      </c>
      <c r="C25" s="900" t="s">
        <v>1281</v>
      </c>
      <c r="D25" s="916"/>
      <c r="E25" s="917"/>
      <c r="F25" s="918"/>
    </row>
    <row r="26" spans="1:6">
      <c r="A26" s="929" t="s">
        <v>1252</v>
      </c>
      <c r="B26" s="903"/>
      <c r="C26" s="902"/>
      <c r="D26" s="919"/>
      <c r="E26" s="920"/>
      <c r="F26" s="921"/>
    </row>
    <row r="28" spans="1:6">
      <c r="A28" s="1730" t="s">
        <v>1265</v>
      </c>
      <c r="B28" s="1731"/>
      <c r="C28" s="1731"/>
      <c r="D28" s="1731"/>
      <c r="E28" s="1731"/>
      <c r="F28" s="1732"/>
    </row>
    <row r="29" spans="1:6">
      <c r="A29" s="1740" t="s">
        <v>1266</v>
      </c>
      <c r="B29" s="1741"/>
      <c r="C29" s="1741"/>
      <c r="D29" s="1741"/>
      <c r="E29" s="1741"/>
      <c r="F29" s="925"/>
    </row>
    <row r="30" spans="1:6">
      <c r="A30" s="1724" t="s">
        <v>1267</v>
      </c>
      <c r="B30" s="1725"/>
      <c r="C30" s="1725"/>
      <c r="D30" s="1725"/>
      <c r="E30" s="1725"/>
      <c r="F30" s="926"/>
    </row>
    <row r="31" spans="1:6">
      <c r="A31" s="1724" t="s">
        <v>1268</v>
      </c>
      <c r="B31" s="1725"/>
      <c r="C31" s="1725"/>
      <c r="D31" s="1725"/>
      <c r="E31" s="1725"/>
      <c r="F31" s="926"/>
    </row>
    <row r="32" spans="1:6">
      <c r="A32" s="1724" t="s">
        <v>1271</v>
      </c>
      <c r="B32" s="1725"/>
      <c r="C32" s="1725"/>
      <c r="D32" s="1725"/>
      <c r="E32" s="1725"/>
      <c r="F32" s="926"/>
    </row>
    <row r="33" spans="1:6">
      <c r="A33" s="1724" t="s">
        <v>1269</v>
      </c>
      <c r="B33" s="1725"/>
      <c r="C33" s="1725"/>
      <c r="D33" s="1725"/>
      <c r="E33" s="1725"/>
      <c r="F33" s="926"/>
    </row>
    <row r="34" spans="1:6">
      <c r="A34" s="1724" t="s">
        <v>1270</v>
      </c>
      <c r="B34" s="1725"/>
      <c r="C34" s="1725"/>
      <c r="D34" s="1725"/>
      <c r="E34" s="1725"/>
      <c r="F34" s="926"/>
    </row>
    <row r="35" spans="1:6">
      <c r="A35" s="1724" t="s">
        <v>1272</v>
      </c>
      <c r="B35" s="1725"/>
      <c r="C35" s="1725"/>
      <c r="D35" s="1725"/>
      <c r="E35" s="1725"/>
      <c r="F35" s="926"/>
    </row>
    <row r="36" spans="1:6">
      <c r="A36" s="1724" t="s">
        <v>1273</v>
      </c>
      <c r="B36" s="1725"/>
      <c r="C36" s="1725"/>
      <c r="D36" s="1725"/>
      <c r="E36" s="1725"/>
      <c r="F36" s="926"/>
    </row>
    <row r="37" spans="1:6">
      <c r="A37" s="1724" t="s">
        <v>1275</v>
      </c>
      <c r="B37" s="1725"/>
      <c r="C37" s="1725"/>
      <c r="D37" s="1725"/>
      <c r="E37" s="1725"/>
      <c r="F37" s="926"/>
    </row>
    <row r="38" spans="1:6">
      <c r="A38" s="1724" t="s">
        <v>42</v>
      </c>
      <c r="B38" s="1725"/>
      <c r="C38" s="1725"/>
      <c r="D38" s="1725"/>
      <c r="E38" s="1725"/>
      <c r="F38" s="926"/>
    </row>
    <row r="39" spans="1:6">
      <c r="A39" s="1724" t="s">
        <v>1276</v>
      </c>
      <c r="B39" s="1725"/>
      <c r="C39" s="1725"/>
      <c r="D39" s="1725"/>
      <c r="E39" s="1725"/>
      <c r="F39" s="926"/>
    </row>
    <row r="40" spans="1:6">
      <c r="A40" s="1724" t="s">
        <v>1279</v>
      </c>
      <c r="B40" s="1725"/>
      <c r="C40" s="1725"/>
      <c r="D40" s="1725"/>
      <c r="E40" s="1725"/>
      <c r="F40" s="926"/>
    </row>
    <row r="41" spans="1:6">
      <c r="A41" s="1724" t="s">
        <v>1277</v>
      </c>
      <c r="B41" s="1725"/>
      <c r="C41" s="1725"/>
      <c r="D41" s="1725"/>
      <c r="E41" s="1725"/>
      <c r="F41" s="926"/>
    </row>
    <row r="42" spans="1:6">
      <c r="A42" s="1724" t="s">
        <v>1278</v>
      </c>
      <c r="B42" s="1725"/>
      <c r="C42" s="1725"/>
      <c r="D42" s="1725"/>
      <c r="E42" s="1725"/>
      <c r="F42" s="926"/>
    </row>
    <row r="43" spans="1:6">
      <c r="A43" s="1724" t="s">
        <v>1290</v>
      </c>
      <c r="B43" s="1725"/>
      <c r="C43" s="1725"/>
      <c r="D43" s="1725"/>
      <c r="E43" s="1725"/>
      <c r="F43" s="926"/>
    </row>
    <row r="44" spans="1:6">
      <c r="A44" s="1724" t="s">
        <v>1274</v>
      </c>
      <c r="B44" s="1725"/>
      <c r="C44" s="1725"/>
      <c r="D44" s="1725"/>
      <c r="E44" s="1725"/>
      <c r="F44" s="926"/>
    </row>
    <row r="45" spans="1:6">
      <c r="A45" s="1712" t="s">
        <v>1289</v>
      </c>
      <c r="B45" s="1713"/>
      <c r="C45" s="1713"/>
      <c r="D45" s="1713"/>
      <c r="E45" s="1713"/>
      <c r="F45" s="927"/>
    </row>
  </sheetData>
  <mergeCells count="40">
    <mergeCell ref="A32:E32"/>
    <mergeCell ref="A9:C9"/>
    <mergeCell ref="A10:D10"/>
    <mergeCell ref="A4:C4"/>
    <mergeCell ref="A5:C5"/>
    <mergeCell ref="A6:C6"/>
    <mergeCell ref="A7:C7"/>
    <mergeCell ref="A8:C8"/>
    <mergeCell ref="A33:E33"/>
    <mergeCell ref="E1:F1"/>
    <mergeCell ref="E2:F2"/>
    <mergeCell ref="A14:F14"/>
    <mergeCell ref="A40:E40"/>
    <mergeCell ref="A38:E38"/>
    <mergeCell ref="A28:F28"/>
    <mergeCell ref="D21:F21"/>
    <mergeCell ref="E22:F22"/>
    <mergeCell ref="A39:E39"/>
    <mergeCell ref="A37:E37"/>
    <mergeCell ref="D12:F12"/>
    <mergeCell ref="A12:C12"/>
    <mergeCell ref="A31:E31"/>
    <mergeCell ref="A30:E30"/>
    <mergeCell ref="A29:E29"/>
    <mergeCell ref="A45:E45"/>
    <mergeCell ref="A15:F15"/>
    <mergeCell ref="A16:F16"/>
    <mergeCell ref="A17:F17"/>
    <mergeCell ref="A18:F18"/>
    <mergeCell ref="A19:F19"/>
    <mergeCell ref="A24:C24"/>
    <mergeCell ref="A21:C21"/>
    <mergeCell ref="B22:C22"/>
    <mergeCell ref="A43:E43"/>
    <mergeCell ref="A41:E41"/>
    <mergeCell ref="A42:E42"/>
    <mergeCell ref="A44:E44"/>
    <mergeCell ref="A36:E36"/>
    <mergeCell ref="A35:E35"/>
    <mergeCell ref="A34:E34"/>
  </mergeCells>
  <conditionalFormatting sqref="D5">
    <cfRule type="expression" dxfId="23" priority="9">
      <formula>A5&lt;&gt;""</formula>
    </cfRule>
  </conditionalFormatting>
  <conditionalFormatting sqref="D6:D9">
    <cfRule type="expression" dxfId="22" priority="8">
      <formula>A6&lt;&gt;""</formula>
    </cfRule>
  </conditionalFormatting>
  <conditionalFormatting sqref="E2:F2">
    <cfRule type="expression" dxfId="21" priority="7">
      <formula>E2=""</formula>
    </cfRule>
  </conditionalFormatting>
  <conditionalFormatting sqref="F5:F10">
    <cfRule type="expression" dxfId="20" priority="4">
      <formula>FC=ILS</formula>
    </cfRule>
    <cfRule type="expression" dxfId="19" priority="5">
      <formula>FC=EUR</formula>
    </cfRule>
    <cfRule type="expression" dxfId="18" priority="6">
      <formula>FC=USD</formula>
    </cfRule>
  </conditionalFormatting>
  <conditionalFormatting sqref="E5:E10">
    <cfRule type="expression" dxfId="17" priority="1">
      <formula>FC=ILS</formula>
    </cfRule>
    <cfRule type="expression" dxfId="16" priority="2">
      <formula>FC=EUR</formula>
    </cfRule>
    <cfRule type="expression" dxfId="15" priority="3">
      <formula>FC=USD</formula>
    </cfRule>
  </conditionalFormatting>
  <dataValidations count="3">
    <dataValidation type="list" allowBlank="1" showInputMessage="1" showErrorMessage="1" sqref="WVH14 IJ33:IJ36 SF33:SF36 ACB33:ACB36 ALX33:ALX36 AVT33:AVT36 BFP33:BFP36 BPL33:BPL36 BZH33:BZH36 CJD33:CJD36 CSZ33:CSZ36 DCV33:DCV36 DMR33:DMR36 DWN33:DWN36 EGJ33:EGJ36 EQF33:EQF36 FAB33:FAB36 FJX33:FJX36 FTT33:FTT36 GDP33:GDP36 GNL33:GNL36 GXH33:GXH36 HHD33:HHD36 HQZ33:HQZ36 IAV33:IAV36 IKR33:IKR36 IUN33:IUN36 JEJ33:JEJ36 JOF33:JOF36 JYB33:JYB36 KHX33:KHX36 KRT33:KRT36 LBP33:LBP36 LLL33:LLL36 LVH33:LVH36 MFD33:MFD36 MOZ33:MOZ36 MYV33:MYV36 NIR33:NIR36 NSN33:NSN36 OCJ33:OCJ36 OMF33:OMF36 OWB33:OWB36 PFX33:PFX36 PPT33:PPT36 PZP33:PZP36 QJL33:QJL36 QTH33:QTH36 RDD33:RDD36 RMZ33:RMZ36 RWV33:RWV36 SGR33:SGR36 SQN33:SQN36 TAJ33:TAJ36 TKF33:TKF36 TUB33:TUB36 UDX33:UDX36 UNT33:UNT36 UXP33:UXP36 VHL33:VHL36 VRH33:VRH36 WBD33:WBD36 WKZ33:WKZ36 WUV33:WUV36 IU65554:IU65557 SQ65554:SQ65557 ACM65554:ACM65557 AMI65554:AMI65557 AWE65554:AWE65557 BGA65554:BGA65557 BPW65554:BPW65557 BZS65554:BZS65557 CJO65554:CJO65557 CTK65554:CTK65557 DDG65554:DDG65557 DNC65554:DNC65557 DWY65554:DWY65557 EGU65554:EGU65557 EQQ65554:EQQ65557 FAM65554:FAM65557 FKI65554:FKI65557 FUE65554:FUE65557 GEA65554:GEA65557 GNW65554:GNW65557 GXS65554:GXS65557 HHO65554:HHO65557 HRK65554:HRK65557 IBG65554:IBG65557 ILC65554:ILC65557 IUY65554:IUY65557 JEU65554:JEU65557 JOQ65554:JOQ65557 JYM65554:JYM65557 KII65554:KII65557 KSE65554:KSE65557 LCA65554:LCA65557 LLW65554:LLW65557 LVS65554:LVS65557 MFO65554:MFO65557 MPK65554:MPK65557 MZG65554:MZG65557 NJC65554:NJC65557 NSY65554:NSY65557 OCU65554:OCU65557 OMQ65554:OMQ65557 OWM65554:OWM65557 PGI65554:PGI65557 PQE65554:PQE65557 QAA65554:QAA65557 QJW65554:QJW65557 QTS65554:QTS65557 RDO65554:RDO65557 RNK65554:RNK65557 RXG65554:RXG65557 SHC65554:SHC65557 SQY65554:SQY65557 TAU65554:TAU65557 TKQ65554:TKQ65557 TUM65554:TUM65557 UEI65554:UEI65557 UOE65554:UOE65557 UYA65554:UYA65557 VHW65554:VHW65557 VRS65554:VRS65557 WBO65554:WBO65557 WLK65554:WLK65557 WVG65554:WVG65557 IU131090:IU131093 SQ131090:SQ131093 ACM131090:ACM131093 AMI131090:AMI131093 AWE131090:AWE131093 BGA131090:BGA131093 BPW131090:BPW131093 BZS131090:BZS131093 CJO131090:CJO131093 CTK131090:CTK131093 DDG131090:DDG131093 DNC131090:DNC131093 DWY131090:DWY131093 EGU131090:EGU131093 EQQ131090:EQQ131093 FAM131090:FAM131093 FKI131090:FKI131093 FUE131090:FUE131093 GEA131090:GEA131093 GNW131090:GNW131093 GXS131090:GXS131093 HHO131090:HHO131093 HRK131090:HRK131093 IBG131090:IBG131093 ILC131090:ILC131093 IUY131090:IUY131093 JEU131090:JEU131093 JOQ131090:JOQ131093 JYM131090:JYM131093 KII131090:KII131093 KSE131090:KSE131093 LCA131090:LCA131093 LLW131090:LLW131093 LVS131090:LVS131093 MFO131090:MFO131093 MPK131090:MPK131093 MZG131090:MZG131093 NJC131090:NJC131093 NSY131090:NSY131093 OCU131090:OCU131093 OMQ131090:OMQ131093 OWM131090:OWM131093 PGI131090:PGI131093 PQE131090:PQE131093 QAA131090:QAA131093 QJW131090:QJW131093 QTS131090:QTS131093 RDO131090:RDO131093 RNK131090:RNK131093 RXG131090:RXG131093 SHC131090:SHC131093 SQY131090:SQY131093 TAU131090:TAU131093 TKQ131090:TKQ131093 TUM131090:TUM131093 UEI131090:UEI131093 UOE131090:UOE131093 UYA131090:UYA131093 VHW131090:VHW131093 VRS131090:VRS131093 WBO131090:WBO131093 WLK131090:WLK131093 WVG131090:WVG131093 IU196626:IU196629 SQ196626:SQ196629 ACM196626:ACM196629 AMI196626:AMI196629 AWE196626:AWE196629 BGA196626:BGA196629 BPW196626:BPW196629 BZS196626:BZS196629 CJO196626:CJO196629 CTK196626:CTK196629 DDG196626:DDG196629 DNC196626:DNC196629 DWY196626:DWY196629 EGU196626:EGU196629 EQQ196626:EQQ196629 FAM196626:FAM196629 FKI196626:FKI196629 FUE196626:FUE196629 GEA196626:GEA196629 GNW196626:GNW196629 GXS196626:GXS196629 HHO196626:HHO196629 HRK196626:HRK196629 IBG196626:IBG196629 ILC196626:ILC196629 IUY196626:IUY196629 JEU196626:JEU196629 JOQ196626:JOQ196629 JYM196626:JYM196629 KII196626:KII196629 KSE196626:KSE196629 LCA196626:LCA196629 LLW196626:LLW196629 LVS196626:LVS196629 MFO196626:MFO196629 MPK196626:MPK196629 MZG196626:MZG196629 NJC196626:NJC196629 NSY196626:NSY196629 OCU196626:OCU196629 OMQ196626:OMQ196629 OWM196626:OWM196629 PGI196626:PGI196629 PQE196626:PQE196629 QAA196626:QAA196629 QJW196626:QJW196629 QTS196626:QTS196629 RDO196626:RDO196629 RNK196626:RNK196629 RXG196626:RXG196629 SHC196626:SHC196629 SQY196626:SQY196629 TAU196626:TAU196629 TKQ196626:TKQ196629 TUM196626:TUM196629 UEI196626:UEI196629 UOE196626:UOE196629 UYA196626:UYA196629 VHW196626:VHW196629 VRS196626:VRS196629 WBO196626:WBO196629 WLK196626:WLK196629 WVG196626:WVG196629 IU262162:IU262165 SQ262162:SQ262165 ACM262162:ACM262165 AMI262162:AMI262165 AWE262162:AWE262165 BGA262162:BGA262165 BPW262162:BPW262165 BZS262162:BZS262165 CJO262162:CJO262165 CTK262162:CTK262165 DDG262162:DDG262165 DNC262162:DNC262165 DWY262162:DWY262165 EGU262162:EGU262165 EQQ262162:EQQ262165 FAM262162:FAM262165 FKI262162:FKI262165 FUE262162:FUE262165 GEA262162:GEA262165 GNW262162:GNW262165 GXS262162:GXS262165 HHO262162:HHO262165 HRK262162:HRK262165 IBG262162:IBG262165 ILC262162:ILC262165 IUY262162:IUY262165 JEU262162:JEU262165 JOQ262162:JOQ262165 JYM262162:JYM262165 KII262162:KII262165 KSE262162:KSE262165 LCA262162:LCA262165 LLW262162:LLW262165 LVS262162:LVS262165 MFO262162:MFO262165 MPK262162:MPK262165 MZG262162:MZG262165 NJC262162:NJC262165 NSY262162:NSY262165 OCU262162:OCU262165 OMQ262162:OMQ262165 OWM262162:OWM262165 PGI262162:PGI262165 PQE262162:PQE262165 QAA262162:QAA262165 QJW262162:QJW262165 QTS262162:QTS262165 RDO262162:RDO262165 RNK262162:RNK262165 RXG262162:RXG262165 SHC262162:SHC262165 SQY262162:SQY262165 TAU262162:TAU262165 TKQ262162:TKQ262165 TUM262162:TUM262165 UEI262162:UEI262165 UOE262162:UOE262165 UYA262162:UYA262165 VHW262162:VHW262165 VRS262162:VRS262165 WBO262162:WBO262165 WLK262162:WLK262165 WVG262162:WVG262165 IU327698:IU327701 SQ327698:SQ327701 ACM327698:ACM327701 AMI327698:AMI327701 AWE327698:AWE327701 BGA327698:BGA327701 BPW327698:BPW327701 BZS327698:BZS327701 CJO327698:CJO327701 CTK327698:CTK327701 DDG327698:DDG327701 DNC327698:DNC327701 DWY327698:DWY327701 EGU327698:EGU327701 EQQ327698:EQQ327701 FAM327698:FAM327701 FKI327698:FKI327701 FUE327698:FUE327701 GEA327698:GEA327701 GNW327698:GNW327701 GXS327698:GXS327701 HHO327698:HHO327701 HRK327698:HRK327701 IBG327698:IBG327701 ILC327698:ILC327701 IUY327698:IUY327701 JEU327698:JEU327701 JOQ327698:JOQ327701 JYM327698:JYM327701 KII327698:KII327701 KSE327698:KSE327701 LCA327698:LCA327701 LLW327698:LLW327701 LVS327698:LVS327701 MFO327698:MFO327701 MPK327698:MPK327701 MZG327698:MZG327701 NJC327698:NJC327701 NSY327698:NSY327701 OCU327698:OCU327701 OMQ327698:OMQ327701 OWM327698:OWM327701 PGI327698:PGI327701 PQE327698:PQE327701 QAA327698:QAA327701 QJW327698:QJW327701 QTS327698:QTS327701 RDO327698:RDO327701 RNK327698:RNK327701 RXG327698:RXG327701 SHC327698:SHC327701 SQY327698:SQY327701 TAU327698:TAU327701 TKQ327698:TKQ327701 TUM327698:TUM327701 UEI327698:UEI327701 UOE327698:UOE327701 UYA327698:UYA327701 VHW327698:VHW327701 VRS327698:VRS327701 WBO327698:WBO327701 WLK327698:WLK327701 WVG327698:WVG327701 IU393234:IU393237 SQ393234:SQ393237 ACM393234:ACM393237 AMI393234:AMI393237 AWE393234:AWE393237 BGA393234:BGA393237 BPW393234:BPW393237 BZS393234:BZS393237 CJO393234:CJO393237 CTK393234:CTK393237 DDG393234:DDG393237 DNC393234:DNC393237 DWY393234:DWY393237 EGU393234:EGU393237 EQQ393234:EQQ393237 FAM393234:FAM393237 FKI393234:FKI393237 FUE393234:FUE393237 GEA393234:GEA393237 GNW393234:GNW393237 GXS393234:GXS393237 HHO393234:HHO393237 HRK393234:HRK393237 IBG393234:IBG393237 ILC393234:ILC393237 IUY393234:IUY393237 JEU393234:JEU393237 JOQ393234:JOQ393237 JYM393234:JYM393237 KII393234:KII393237 KSE393234:KSE393237 LCA393234:LCA393237 LLW393234:LLW393237 LVS393234:LVS393237 MFO393234:MFO393237 MPK393234:MPK393237 MZG393234:MZG393237 NJC393234:NJC393237 NSY393234:NSY393237 OCU393234:OCU393237 OMQ393234:OMQ393237 OWM393234:OWM393237 PGI393234:PGI393237 PQE393234:PQE393237 QAA393234:QAA393237 QJW393234:QJW393237 QTS393234:QTS393237 RDO393234:RDO393237 RNK393234:RNK393237 RXG393234:RXG393237 SHC393234:SHC393237 SQY393234:SQY393237 TAU393234:TAU393237 TKQ393234:TKQ393237 TUM393234:TUM393237 UEI393234:UEI393237 UOE393234:UOE393237 UYA393234:UYA393237 VHW393234:VHW393237 VRS393234:VRS393237 WBO393234:WBO393237 WLK393234:WLK393237 WVG393234:WVG393237 IU458770:IU458773 SQ458770:SQ458773 ACM458770:ACM458773 AMI458770:AMI458773 AWE458770:AWE458773 BGA458770:BGA458773 BPW458770:BPW458773 BZS458770:BZS458773 CJO458770:CJO458773 CTK458770:CTK458773 DDG458770:DDG458773 DNC458770:DNC458773 DWY458770:DWY458773 EGU458770:EGU458773 EQQ458770:EQQ458773 FAM458770:FAM458773 FKI458770:FKI458773 FUE458770:FUE458773 GEA458770:GEA458773 GNW458770:GNW458773 GXS458770:GXS458773 HHO458770:HHO458773 HRK458770:HRK458773 IBG458770:IBG458773 ILC458770:ILC458773 IUY458770:IUY458773 JEU458770:JEU458773 JOQ458770:JOQ458773 JYM458770:JYM458773 KII458770:KII458773 KSE458770:KSE458773 LCA458770:LCA458773 LLW458770:LLW458773 LVS458770:LVS458773 MFO458770:MFO458773 MPK458770:MPK458773 MZG458770:MZG458773 NJC458770:NJC458773 NSY458770:NSY458773 OCU458770:OCU458773 OMQ458770:OMQ458773 OWM458770:OWM458773 PGI458770:PGI458773 PQE458770:PQE458773 QAA458770:QAA458773 QJW458770:QJW458773 QTS458770:QTS458773 RDO458770:RDO458773 RNK458770:RNK458773 RXG458770:RXG458773 SHC458770:SHC458773 SQY458770:SQY458773 TAU458770:TAU458773 TKQ458770:TKQ458773 TUM458770:TUM458773 UEI458770:UEI458773 UOE458770:UOE458773 UYA458770:UYA458773 VHW458770:VHW458773 VRS458770:VRS458773 WBO458770:WBO458773 WLK458770:WLK458773 WVG458770:WVG458773 IU524306:IU524309 SQ524306:SQ524309 ACM524306:ACM524309 AMI524306:AMI524309 AWE524306:AWE524309 BGA524306:BGA524309 BPW524306:BPW524309 BZS524306:BZS524309 CJO524306:CJO524309 CTK524306:CTK524309 DDG524306:DDG524309 DNC524306:DNC524309 DWY524306:DWY524309 EGU524306:EGU524309 EQQ524306:EQQ524309 FAM524306:FAM524309 FKI524306:FKI524309 FUE524306:FUE524309 GEA524306:GEA524309 GNW524306:GNW524309 GXS524306:GXS524309 HHO524306:HHO524309 HRK524306:HRK524309 IBG524306:IBG524309 ILC524306:ILC524309 IUY524306:IUY524309 JEU524306:JEU524309 JOQ524306:JOQ524309 JYM524306:JYM524309 KII524306:KII524309 KSE524306:KSE524309 LCA524306:LCA524309 LLW524306:LLW524309 LVS524306:LVS524309 MFO524306:MFO524309 MPK524306:MPK524309 MZG524306:MZG524309 NJC524306:NJC524309 NSY524306:NSY524309 OCU524306:OCU524309 OMQ524306:OMQ524309 OWM524306:OWM524309 PGI524306:PGI524309 PQE524306:PQE524309 QAA524306:QAA524309 QJW524306:QJW524309 QTS524306:QTS524309 RDO524306:RDO524309 RNK524306:RNK524309 RXG524306:RXG524309 SHC524306:SHC524309 SQY524306:SQY524309 TAU524306:TAU524309 TKQ524306:TKQ524309 TUM524306:TUM524309 UEI524306:UEI524309 UOE524306:UOE524309 UYA524306:UYA524309 VHW524306:VHW524309 VRS524306:VRS524309 WBO524306:WBO524309 WLK524306:WLK524309 WVG524306:WVG524309 IU589842:IU589845 SQ589842:SQ589845 ACM589842:ACM589845 AMI589842:AMI589845 AWE589842:AWE589845 BGA589842:BGA589845 BPW589842:BPW589845 BZS589842:BZS589845 CJO589842:CJO589845 CTK589842:CTK589845 DDG589842:DDG589845 DNC589842:DNC589845 DWY589842:DWY589845 EGU589842:EGU589845 EQQ589842:EQQ589845 FAM589842:FAM589845 FKI589842:FKI589845 FUE589842:FUE589845 GEA589842:GEA589845 GNW589842:GNW589845 GXS589842:GXS589845 HHO589842:HHO589845 HRK589842:HRK589845 IBG589842:IBG589845 ILC589842:ILC589845 IUY589842:IUY589845 JEU589842:JEU589845 JOQ589842:JOQ589845 JYM589842:JYM589845 KII589842:KII589845 KSE589842:KSE589845 LCA589842:LCA589845 LLW589842:LLW589845 LVS589842:LVS589845 MFO589842:MFO589845 MPK589842:MPK589845 MZG589842:MZG589845 NJC589842:NJC589845 NSY589842:NSY589845 OCU589842:OCU589845 OMQ589842:OMQ589845 OWM589842:OWM589845 PGI589842:PGI589845 PQE589842:PQE589845 QAA589842:QAA589845 QJW589842:QJW589845 QTS589842:QTS589845 RDO589842:RDO589845 RNK589842:RNK589845 RXG589842:RXG589845 SHC589842:SHC589845 SQY589842:SQY589845 TAU589842:TAU589845 TKQ589842:TKQ589845 TUM589842:TUM589845 UEI589842:UEI589845 UOE589842:UOE589845 UYA589842:UYA589845 VHW589842:VHW589845 VRS589842:VRS589845 WBO589842:WBO589845 WLK589842:WLK589845 WVG589842:WVG589845 IU655378:IU655381 SQ655378:SQ655381 ACM655378:ACM655381 AMI655378:AMI655381 AWE655378:AWE655381 BGA655378:BGA655381 BPW655378:BPW655381 BZS655378:BZS655381 CJO655378:CJO655381 CTK655378:CTK655381 DDG655378:DDG655381 DNC655378:DNC655381 DWY655378:DWY655381 EGU655378:EGU655381 EQQ655378:EQQ655381 FAM655378:FAM655381 FKI655378:FKI655381 FUE655378:FUE655381 GEA655378:GEA655381 GNW655378:GNW655381 GXS655378:GXS655381 HHO655378:HHO655381 HRK655378:HRK655381 IBG655378:IBG655381 ILC655378:ILC655381 IUY655378:IUY655381 JEU655378:JEU655381 JOQ655378:JOQ655381 JYM655378:JYM655381 KII655378:KII655381 KSE655378:KSE655381 LCA655378:LCA655381 LLW655378:LLW655381 LVS655378:LVS655381 MFO655378:MFO655381 MPK655378:MPK655381 MZG655378:MZG655381 NJC655378:NJC655381 NSY655378:NSY655381 OCU655378:OCU655381 OMQ655378:OMQ655381 OWM655378:OWM655381 PGI655378:PGI655381 PQE655378:PQE655381 QAA655378:QAA655381 QJW655378:QJW655381 QTS655378:QTS655381 RDO655378:RDO655381 RNK655378:RNK655381 RXG655378:RXG655381 SHC655378:SHC655381 SQY655378:SQY655381 TAU655378:TAU655381 TKQ655378:TKQ655381 TUM655378:TUM655381 UEI655378:UEI655381 UOE655378:UOE655381 UYA655378:UYA655381 VHW655378:VHW655381 VRS655378:VRS655381 WBO655378:WBO655381 WLK655378:WLK655381 WVG655378:WVG655381 IU720914:IU720917 SQ720914:SQ720917 ACM720914:ACM720917 AMI720914:AMI720917 AWE720914:AWE720917 BGA720914:BGA720917 BPW720914:BPW720917 BZS720914:BZS720917 CJO720914:CJO720917 CTK720914:CTK720917 DDG720914:DDG720917 DNC720914:DNC720917 DWY720914:DWY720917 EGU720914:EGU720917 EQQ720914:EQQ720917 FAM720914:FAM720917 FKI720914:FKI720917 FUE720914:FUE720917 GEA720914:GEA720917 GNW720914:GNW720917 GXS720914:GXS720917 HHO720914:HHO720917 HRK720914:HRK720917 IBG720914:IBG720917 ILC720914:ILC720917 IUY720914:IUY720917 JEU720914:JEU720917 JOQ720914:JOQ720917 JYM720914:JYM720917 KII720914:KII720917 KSE720914:KSE720917 LCA720914:LCA720917 LLW720914:LLW720917 LVS720914:LVS720917 MFO720914:MFO720917 MPK720914:MPK720917 MZG720914:MZG720917 NJC720914:NJC720917 NSY720914:NSY720917 OCU720914:OCU720917 OMQ720914:OMQ720917 OWM720914:OWM720917 PGI720914:PGI720917 PQE720914:PQE720917 QAA720914:QAA720917 QJW720914:QJW720917 QTS720914:QTS720917 RDO720914:RDO720917 RNK720914:RNK720917 RXG720914:RXG720917 SHC720914:SHC720917 SQY720914:SQY720917 TAU720914:TAU720917 TKQ720914:TKQ720917 TUM720914:TUM720917 UEI720914:UEI720917 UOE720914:UOE720917 UYA720914:UYA720917 VHW720914:VHW720917 VRS720914:VRS720917 WBO720914:WBO720917 WLK720914:WLK720917 WVG720914:WVG720917 IU786450:IU786453 SQ786450:SQ786453 ACM786450:ACM786453 AMI786450:AMI786453 AWE786450:AWE786453 BGA786450:BGA786453 BPW786450:BPW786453 BZS786450:BZS786453 CJO786450:CJO786453 CTK786450:CTK786453 DDG786450:DDG786453 DNC786450:DNC786453 DWY786450:DWY786453 EGU786450:EGU786453 EQQ786450:EQQ786453 FAM786450:FAM786453 FKI786450:FKI786453 FUE786450:FUE786453 GEA786450:GEA786453 GNW786450:GNW786453 GXS786450:GXS786453 HHO786450:HHO786453 HRK786450:HRK786453 IBG786450:IBG786453 ILC786450:ILC786453 IUY786450:IUY786453 JEU786450:JEU786453 JOQ786450:JOQ786453 JYM786450:JYM786453 KII786450:KII786453 KSE786450:KSE786453 LCA786450:LCA786453 LLW786450:LLW786453 LVS786450:LVS786453 MFO786450:MFO786453 MPK786450:MPK786453 MZG786450:MZG786453 NJC786450:NJC786453 NSY786450:NSY786453 OCU786450:OCU786453 OMQ786450:OMQ786453 OWM786450:OWM786453 PGI786450:PGI786453 PQE786450:PQE786453 QAA786450:QAA786453 QJW786450:QJW786453 QTS786450:QTS786453 RDO786450:RDO786453 RNK786450:RNK786453 RXG786450:RXG786453 SHC786450:SHC786453 SQY786450:SQY786453 TAU786450:TAU786453 TKQ786450:TKQ786453 TUM786450:TUM786453 UEI786450:UEI786453 UOE786450:UOE786453 UYA786450:UYA786453 VHW786450:VHW786453 VRS786450:VRS786453 WBO786450:WBO786453 WLK786450:WLK786453 WVG786450:WVG786453 IU851986:IU851989 SQ851986:SQ851989 ACM851986:ACM851989 AMI851986:AMI851989 AWE851986:AWE851989 BGA851986:BGA851989 BPW851986:BPW851989 BZS851986:BZS851989 CJO851986:CJO851989 CTK851986:CTK851989 DDG851986:DDG851989 DNC851986:DNC851989 DWY851986:DWY851989 EGU851986:EGU851989 EQQ851986:EQQ851989 FAM851986:FAM851989 FKI851986:FKI851989 FUE851986:FUE851989 GEA851986:GEA851989 GNW851986:GNW851989 GXS851986:GXS851989 HHO851986:HHO851989 HRK851986:HRK851989 IBG851986:IBG851989 ILC851986:ILC851989 IUY851986:IUY851989 JEU851986:JEU851989 JOQ851986:JOQ851989 JYM851986:JYM851989 KII851986:KII851989 KSE851986:KSE851989 LCA851986:LCA851989 LLW851986:LLW851989 LVS851986:LVS851989 MFO851986:MFO851989 MPK851986:MPK851989 MZG851986:MZG851989 NJC851986:NJC851989 NSY851986:NSY851989 OCU851986:OCU851989 OMQ851986:OMQ851989 OWM851986:OWM851989 PGI851986:PGI851989 PQE851986:PQE851989 QAA851986:QAA851989 QJW851986:QJW851989 QTS851986:QTS851989 RDO851986:RDO851989 RNK851986:RNK851989 RXG851986:RXG851989 SHC851986:SHC851989 SQY851986:SQY851989 TAU851986:TAU851989 TKQ851986:TKQ851989 TUM851986:TUM851989 UEI851986:UEI851989 UOE851986:UOE851989 UYA851986:UYA851989 VHW851986:VHW851989 VRS851986:VRS851989 WBO851986:WBO851989 WLK851986:WLK851989 WVG851986:WVG851989 IU917522:IU917525 SQ917522:SQ917525 ACM917522:ACM917525 AMI917522:AMI917525 AWE917522:AWE917525 BGA917522:BGA917525 BPW917522:BPW917525 BZS917522:BZS917525 CJO917522:CJO917525 CTK917522:CTK917525 DDG917522:DDG917525 DNC917522:DNC917525 DWY917522:DWY917525 EGU917522:EGU917525 EQQ917522:EQQ917525 FAM917522:FAM917525 FKI917522:FKI917525 FUE917522:FUE917525 GEA917522:GEA917525 GNW917522:GNW917525 GXS917522:GXS917525 HHO917522:HHO917525 HRK917522:HRK917525 IBG917522:IBG917525 ILC917522:ILC917525 IUY917522:IUY917525 JEU917522:JEU917525 JOQ917522:JOQ917525 JYM917522:JYM917525 KII917522:KII917525 KSE917522:KSE917525 LCA917522:LCA917525 LLW917522:LLW917525 LVS917522:LVS917525 MFO917522:MFO917525 MPK917522:MPK917525 MZG917522:MZG917525 NJC917522:NJC917525 NSY917522:NSY917525 OCU917522:OCU917525 OMQ917522:OMQ917525 OWM917522:OWM917525 PGI917522:PGI917525 PQE917522:PQE917525 QAA917522:QAA917525 QJW917522:QJW917525 QTS917522:QTS917525 RDO917522:RDO917525 RNK917522:RNK917525 RXG917522:RXG917525 SHC917522:SHC917525 SQY917522:SQY917525 TAU917522:TAU917525 TKQ917522:TKQ917525 TUM917522:TUM917525 UEI917522:UEI917525 UOE917522:UOE917525 UYA917522:UYA917525 VHW917522:VHW917525 VRS917522:VRS917525 WBO917522:WBO917525 WLK917522:WLK917525 WVG917522:WVG917525 IU983058:IU983061 SQ983058:SQ983061 ACM983058:ACM983061 AMI983058:AMI983061 AWE983058:AWE983061 BGA983058:BGA983061 BPW983058:BPW983061 BZS983058:BZS983061 CJO983058:CJO983061 CTK983058:CTK983061 DDG983058:DDG983061 DNC983058:DNC983061 DWY983058:DWY983061 EGU983058:EGU983061 EQQ983058:EQQ983061 FAM983058:FAM983061 FKI983058:FKI983061 FUE983058:FUE983061 GEA983058:GEA983061 GNW983058:GNW983061 GXS983058:GXS983061 HHO983058:HHO983061 HRK983058:HRK983061 IBG983058:IBG983061 ILC983058:ILC983061 IUY983058:IUY983061 JEU983058:JEU983061 JOQ983058:JOQ983061 JYM983058:JYM983061 KII983058:KII983061 KSE983058:KSE983061 LCA983058:LCA983061 LLW983058:LLW983061 LVS983058:LVS983061 MFO983058:MFO983061 MPK983058:MPK983061 MZG983058:MZG983061 NJC983058:NJC983061 NSY983058:NSY983061 OCU983058:OCU983061 OMQ983058:OMQ983061 OWM983058:OWM983061 PGI983058:PGI983061 PQE983058:PQE983061 QAA983058:QAA983061 QJW983058:QJW983061 QTS983058:QTS983061 RDO983058:RDO983061 RNK983058:RNK983061 RXG983058:RXG983061 SHC983058:SHC983061 SQY983058:SQY983061 TAU983058:TAU983061 TKQ983058:TKQ983061 TUM983058:TUM983061 UEI983058:UEI983061 UOE983058:UOE983061 UYA983058:UYA983061 VHW983058:VHW983061 VRS983058:VRS983061 WBO983058:WBO983061 WLK983058:WLK983061 WVG983058:WVG983061 IY65554:IY65563 SU65554:SU65563 ACQ65554:ACQ65563 AMM65554:AMM65563 AWI65554:AWI65563 BGE65554:BGE65563 BQA65554:BQA65563 BZW65554:BZW65563 CJS65554:CJS65563 CTO65554:CTO65563 DDK65554:DDK65563 DNG65554:DNG65563 DXC65554:DXC65563 EGY65554:EGY65563 EQU65554:EQU65563 FAQ65554:FAQ65563 FKM65554:FKM65563 FUI65554:FUI65563 GEE65554:GEE65563 GOA65554:GOA65563 GXW65554:GXW65563 HHS65554:HHS65563 HRO65554:HRO65563 IBK65554:IBK65563 ILG65554:ILG65563 IVC65554:IVC65563 JEY65554:JEY65563 JOU65554:JOU65563 JYQ65554:JYQ65563 KIM65554:KIM65563 KSI65554:KSI65563 LCE65554:LCE65563 LMA65554:LMA65563 LVW65554:LVW65563 MFS65554:MFS65563 MPO65554:MPO65563 MZK65554:MZK65563 NJG65554:NJG65563 NTC65554:NTC65563 OCY65554:OCY65563 OMU65554:OMU65563 OWQ65554:OWQ65563 PGM65554:PGM65563 PQI65554:PQI65563 QAE65554:QAE65563 QKA65554:QKA65563 QTW65554:QTW65563 RDS65554:RDS65563 RNO65554:RNO65563 RXK65554:RXK65563 SHG65554:SHG65563 SRC65554:SRC65563 TAY65554:TAY65563 TKU65554:TKU65563 TUQ65554:TUQ65563 UEM65554:UEM65563 UOI65554:UOI65563 UYE65554:UYE65563 VIA65554:VIA65563 VRW65554:VRW65563 WBS65554:WBS65563 WLO65554:WLO65563 WVK65554:WVK65563 IY131090:IY131099 SU131090:SU131099 ACQ131090:ACQ131099 AMM131090:AMM131099 AWI131090:AWI131099 BGE131090:BGE131099 BQA131090:BQA131099 BZW131090:BZW131099 CJS131090:CJS131099 CTO131090:CTO131099 DDK131090:DDK131099 DNG131090:DNG131099 DXC131090:DXC131099 EGY131090:EGY131099 EQU131090:EQU131099 FAQ131090:FAQ131099 FKM131090:FKM131099 FUI131090:FUI131099 GEE131090:GEE131099 GOA131090:GOA131099 GXW131090:GXW131099 HHS131090:HHS131099 HRO131090:HRO131099 IBK131090:IBK131099 ILG131090:ILG131099 IVC131090:IVC131099 JEY131090:JEY131099 JOU131090:JOU131099 JYQ131090:JYQ131099 KIM131090:KIM131099 KSI131090:KSI131099 LCE131090:LCE131099 LMA131090:LMA131099 LVW131090:LVW131099 MFS131090:MFS131099 MPO131090:MPO131099 MZK131090:MZK131099 NJG131090:NJG131099 NTC131090:NTC131099 OCY131090:OCY131099 OMU131090:OMU131099 OWQ131090:OWQ131099 PGM131090:PGM131099 PQI131090:PQI131099 QAE131090:QAE131099 QKA131090:QKA131099 QTW131090:QTW131099 RDS131090:RDS131099 RNO131090:RNO131099 RXK131090:RXK131099 SHG131090:SHG131099 SRC131090:SRC131099 TAY131090:TAY131099 TKU131090:TKU131099 TUQ131090:TUQ131099 UEM131090:UEM131099 UOI131090:UOI131099 UYE131090:UYE131099 VIA131090:VIA131099 VRW131090:VRW131099 WBS131090:WBS131099 WLO131090:WLO131099 WVK131090:WVK131099 IY196626:IY196635 SU196626:SU196635 ACQ196626:ACQ196635 AMM196626:AMM196635 AWI196626:AWI196635 BGE196626:BGE196635 BQA196626:BQA196635 BZW196626:BZW196635 CJS196626:CJS196635 CTO196626:CTO196635 DDK196626:DDK196635 DNG196626:DNG196635 DXC196626:DXC196635 EGY196626:EGY196635 EQU196626:EQU196635 FAQ196626:FAQ196635 FKM196626:FKM196635 FUI196626:FUI196635 GEE196626:GEE196635 GOA196626:GOA196635 GXW196626:GXW196635 HHS196626:HHS196635 HRO196626:HRO196635 IBK196626:IBK196635 ILG196626:ILG196635 IVC196626:IVC196635 JEY196626:JEY196635 JOU196626:JOU196635 JYQ196626:JYQ196635 KIM196626:KIM196635 KSI196626:KSI196635 LCE196626:LCE196635 LMA196626:LMA196635 LVW196626:LVW196635 MFS196626:MFS196635 MPO196626:MPO196635 MZK196626:MZK196635 NJG196626:NJG196635 NTC196626:NTC196635 OCY196626:OCY196635 OMU196626:OMU196635 OWQ196626:OWQ196635 PGM196626:PGM196635 PQI196626:PQI196635 QAE196626:QAE196635 QKA196626:QKA196635 QTW196626:QTW196635 RDS196626:RDS196635 RNO196626:RNO196635 RXK196626:RXK196635 SHG196626:SHG196635 SRC196626:SRC196635 TAY196626:TAY196635 TKU196626:TKU196635 TUQ196626:TUQ196635 UEM196626:UEM196635 UOI196626:UOI196635 UYE196626:UYE196635 VIA196626:VIA196635 VRW196626:VRW196635 WBS196626:WBS196635 WLO196626:WLO196635 WVK196626:WVK196635 IY262162:IY262171 SU262162:SU262171 ACQ262162:ACQ262171 AMM262162:AMM262171 AWI262162:AWI262171 BGE262162:BGE262171 BQA262162:BQA262171 BZW262162:BZW262171 CJS262162:CJS262171 CTO262162:CTO262171 DDK262162:DDK262171 DNG262162:DNG262171 DXC262162:DXC262171 EGY262162:EGY262171 EQU262162:EQU262171 FAQ262162:FAQ262171 FKM262162:FKM262171 FUI262162:FUI262171 GEE262162:GEE262171 GOA262162:GOA262171 GXW262162:GXW262171 HHS262162:HHS262171 HRO262162:HRO262171 IBK262162:IBK262171 ILG262162:ILG262171 IVC262162:IVC262171 JEY262162:JEY262171 JOU262162:JOU262171 JYQ262162:JYQ262171 KIM262162:KIM262171 KSI262162:KSI262171 LCE262162:LCE262171 LMA262162:LMA262171 LVW262162:LVW262171 MFS262162:MFS262171 MPO262162:MPO262171 MZK262162:MZK262171 NJG262162:NJG262171 NTC262162:NTC262171 OCY262162:OCY262171 OMU262162:OMU262171 OWQ262162:OWQ262171 PGM262162:PGM262171 PQI262162:PQI262171 QAE262162:QAE262171 QKA262162:QKA262171 QTW262162:QTW262171 RDS262162:RDS262171 RNO262162:RNO262171 RXK262162:RXK262171 SHG262162:SHG262171 SRC262162:SRC262171 TAY262162:TAY262171 TKU262162:TKU262171 TUQ262162:TUQ262171 UEM262162:UEM262171 UOI262162:UOI262171 UYE262162:UYE262171 VIA262162:VIA262171 VRW262162:VRW262171 WBS262162:WBS262171 WLO262162:WLO262171 WVK262162:WVK262171 IY327698:IY327707 SU327698:SU327707 ACQ327698:ACQ327707 AMM327698:AMM327707 AWI327698:AWI327707 BGE327698:BGE327707 BQA327698:BQA327707 BZW327698:BZW327707 CJS327698:CJS327707 CTO327698:CTO327707 DDK327698:DDK327707 DNG327698:DNG327707 DXC327698:DXC327707 EGY327698:EGY327707 EQU327698:EQU327707 FAQ327698:FAQ327707 FKM327698:FKM327707 FUI327698:FUI327707 GEE327698:GEE327707 GOA327698:GOA327707 GXW327698:GXW327707 HHS327698:HHS327707 HRO327698:HRO327707 IBK327698:IBK327707 ILG327698:ILG327707 IVC327698:IVC327707 JEY327698:JEY327707 JOU327698:JOU327707 JYQ327698:JYQ327707 KIM327698:KIM327707 KSI327698:KSI327707 LCE327698:LCE327707 LMA327698:LMA327707 LVW327698:LVW327707 MFS327698:MFS327707 MPO327698:MPO327707 MZK327698:MZK327707 NJG327698:NJG327707 NTC327698:NTC327707 OCY327698:OCY327707 OMU327698:OMU327707 OWQ327698:OWQ327707 PGM327698:PGM327707 PQI327698:PQI327707 QAE327698:QAE327707 QKA327698:QKA327707 QTW327698:QTW327707 RDS327698:RDS327707 RNO327698:RNO327707 RXK327698:RXK327707 SHG327698:SHG327707 SRC327698:SRC327707 TAY327698:TAY327707 TKU327698:TKU327707 TUQ327698:TUQ327707 UEM327698:UEM327707 UOI327698:UOI327707 UYE327698:UYE327707 VIA327698:VIA327707 VRW327698:VRW327707 WBS327698:WBS327707 WLO327698:WLO327707 WVK327698:WVK327707 IY393234:IY393243 SU393234:SU393243 ACQ393234:ACQ393243 AMM393234:AMM393243 AWI393234:AWI393243 BGE393234:BGE393243 BQA393234:BQA393243 BZW393234:BZW393243 CJS393234:CJS393243 CTO393234:CTO393243 DDK393234:DDK393243 DNG393234:DNG393243 DXC393234:DXC393243 EGY393234:EGY393243 EQU393234:EQU393243 FAQ393234:FAQ393243 FKM393234:FKM393243 FUI393234:FUI393243 GEE393234:GEE393243 GOA393234:GOA393243 GXW393234:GXW393243 HHS393234:HHS393243 HRO393234:HRO393243 IBK393234:IBK393243 ILG393234:ILG393243 IVC393234:IVC393243 JEY393234:JEY393243 JOU393234:JOU393243 JYQ393234:JYQ393243 KIM393234:KIM393243 KSI393234:KSI393243 LCE393234:LCE393243 LMA393234:LMA393243 LVW393234:LVW393243 MFS393234:MFS393243 MPO393234:MPO393243 MZK393234:MZK393243 NJG393234:NJG393243 NTC393234:NTC393243 OCY393234:OCY393243 OMU393234:OMU393243 OWQ393234:OWQ393243 PGM393234:PGM393243 PQI393234:PQI393243 QAE393234:QAE393243 QKA393234:QKA393243 QTW393234:QTW393243 RDS393234:RDS393243 RNO393234:RNO393243 RXK393234:RXK393243 SHG393234:SHG393243 SRC393234:SRC393243 TAY393234:TAY393243 TKU393234:TKU393243 TUQ393234:TUQ393243 UEM393234:UEM393243 UOI393234:UOI393243 UYE393234:UYE393243 VIA393234:VIA393243 VRW393234:VRW393243 WBS393234:WBS393243 WLO393234:WLO393243 WVK393234:WVK393243 IY458770:IY458779 SU458770:SU458779 ACQ458770:ACQ458779 AMM458770:AMM458779 AWI458770:AWI458779 BGE458770:BGE458779 BQA458770:BQA458779 BZW458770:BZW458779 CJS458770:CJS458779 CTO458770:CTO458779 DDK458770:DDK458779 DNG458770:DNG458779 DXC458770:DXC458779 EGY458770:EGY458779 EQU458770:EQU458779 FAQ458770:FAQ458779 FKM458770:FKM458779 FUI458770:FUI458779 GEE458770:GEE458779 GOA458770:GOA458779 GXW458770:GXW458779 HHS458770:HHS458779 HRO458770:HRO458779 IBK458770:IBK458779 ILG458770:ILG458779 IVC458770:IVC458779 JEY458770:JEY458779 JOU458770:JOU458779 JYQ458770:JYQ458779 KIM458770:KIM458779 KSI458770:KSI458779 LCE458770:LCE458779 LMA458770:LMA458779 LVW458770:LVW458779 MFS458770:MFS458779 MPO458770:MPO458779 MZK458770:MZK458779 NJG458770:NJG458779 NTC458770:NTC458779 OCY458770:OCY458779 OMU458770:OMU458779 OWQ458770:OWQ458779 PGM458770:PGM458779 PQI458770:PQI458779 QAE458770:QAE458779 QKA458770:QKA458779 QTW458770:QTW458779 RDS458770:RDS458779 RNO458770:RNO458779 RXK458770:RXK458779 SHG458770:SHG458779 SRC458770:SRC458779 TAY458770:TAY458779 TKU458770:TKU458779 TUQ458770:TUQ458779 UEM458770:UEM458779 UOI458770:UOI458779 UYE458770:UYE458779 VIA458770:VIA458779 VRW458770:VRW458779 WBS458770:WBS458779 WLO458770:WLO458779 WVK458770:WVK458779 IY524306:IY524315 SU524306:SU524315 ACQ524306:ACQ524315 AMM524306:AMM524315 AWI524306:AWI524315 BGE524306:BGE524315 BQA524306:BQA524315 BZW524306:BZW524315 CJS524306:CJS524315 CTO524306:CTO524315 DDK524306:DDK524315 DNG524306:DNG524315 DXC524306:DXC524315 EGY524306:EGY524315 EQU524306:EQU524315 FAQ524306:FAQ524315 FKM524306:FKM524315 FUI524306:FUI524315 GEE524306:GEE524315 GOA524306:GOA524315 GXW524306:GXW524315 HHS524306:HHS524315 HRO524306:HRO524315 IBK524306:IBK524315 ILG524306:ILG524315 IVC524306:IVC524315 JEY524306:JEY524315 JOU524306:JOU524315 JYQ524306:JYQ524315 KIM524306:KIM524315 KSI524306:KSI524315 LCE524306:LCE524315 LMA524306:LMA524315 LVW524306:LVW524315 MFS524306:MFS524315 MPO524306:MPO524315 MZK524306:MZK524315 NJG524306:NJG524315 NTC524306:NTC524315 OCY524306:OCY524315 OMU524306:OMU524315 OWQ524306:OWQ524315 PGM524306:PGM524315 PQI524306:PQI524315 QAE524306:QAE524315 QKA524306:QKA524315 QTW524306:QTW524315 RDS524306:RDS524315 RNO524306:RNO524315 RXK524306:RXK524315 SHG524306:SHG524315 SRC524306:SRC524315 TAY524306:TAY524315 TKU524306:TKU524315 TUQ524306:TUQ524315 UEM524306:UEM524315 UOI524306:UOI524315 UYE524306:UYE524315 VIA524306:VIA524315 VRW524306:VRW524315 WBS524306:WBS524315 WLO524306:WLO524315 WVK524306:WVK524315 IY589842:IY589851 SU589842:SU589851 ACQ589842:ACQ589851 AMM589842:AMM589851 AWI589842:AWI589851 BGE589842:BGE589851 BQA589842:BQA589851 BZW589842:BZW589851 CJS589842:CJS589851 CTO589842:CTO589851 DDK589842:DDK589851 DNG589842:DNG589851 DXC589842:DXC589851 EGY589842:EGY589851 EQU589842:EQU589851 FAQ589842:FAQ589851 FKM589842:FKM589851 FUI589842:FUI589851 GEE589842:GEE589851 GOA589842:GOA589851 GXW589842:GXW589851 HHS589842:HHS589851 HRO589842:HRO589851 IBK589842:IBK589851 ILG589842:ILG589851 IVC589842:IVC589851 JEY589842:JEY589851 JOU589842:JOU589851 JYQ589842:JYQ589851 KIM589842:KIM589851 KSI589842:KSI589851 LCE589842:LCE589851 LMA589842:LMA589851 LVW589842:LVW589851 MFS589842:MFS589851 MPO589842:MPO589851 MZK589842:MZK589851 NJG589842:NJG589851 NTC589842:NTC589851 OCY589842:OCY589851 OMU589842:OMU589851 OWQ589842:OWQ589851 PGM589842:PGM589851 PQI589842:PQI589851 QAE589842:QAE589851 QKA589842:QKA589851 QTW589842:QTW589851 RDS589842:RDS589851 RNO589842:RNO589851 RXK589842:RXK589851 SHG589842:SHG589851 SRC589842:SRC589851 TAY589842:TAY589851 TKU589842:TKU589851 TUQ589842:TUQ589851 UEM589842:UEM589851 UOI589842:UOI589851 UYE589842:UYE589851 VIA589842:VIA589851 VRW589842:VRW589851 WBS589842:WBS589851 WLO589842:WLO589851 WVK589842:WVK589851 IY655378:IY655387 SU655378:SU655387 ACQ655378:ACQ655387 AMM655378:AMM655387 AWI655378:AWI655387 BGE655378:BGE655387 BQA655378:BQA655387 BZW655378:BZW655387 CJS655378:CJS655387 CTO655378:CTO655387 DDK655378:DDK655387 DNG655378:DNG655387 DXC655378:DXC655387 EGY655378:EGY655387 EQU655378:EQU655387 FAQ655378:FAQ655387 FKM655378:FKM655387 FUI655378:FUI655387 GEE655378:GEE655387 GOA655378:GOA655387 GXW655378:GXW655387 HHS655378:HHS655387 HRO655378:HRO655387 IBK655378:IBK655387 ILG655378:ILG655387 IVC655378:IVC655387 JEY655378:JEY655387 JOU655378:JOU655387 JYQ655378:JYQ655387 KIM655378:KIM655387 KSI655378:KSI655387 LCE655378:LCE655387 LMA655378:LMA655387 LVW655378:LVW655387 MFS655378:MFS655387 MPO655378:MPO655387 MZK655378:MZK655387 NJG655378:NJG655387 NTC655378:NTC655387 OCY655378:OCY655387 OMU655378:OMU655387 OWQ655378:OWQ655387 PGM655378:PGM655387 PQI655378:PQI655387 QAE655378:QAE655387 QKA655378:QKA655387 QTW655378:QTW655387 RDS655378:RDS655387 RNO655378:RNO655387 RXK655378:RXK655387 SHG655378:SHG655387 SRC655378:SRC655387 TAY655378:TAY655387 TKU655378:TKU655387 TUQ655378:TUQ655387 UEM655378:UEM655387 UOI655378:UOI655387 UYE655378:UYE655387 VIA655378:VIA655387 VRW655378:VRW655387 WBS655378:WBS655387 WLO655378:WLO655387 WVK655378:WVK655387 IY720914:IY720923 SU720914:SU720923 ACQ720914:ACQ720923 AMM720914:AMM720923 AWI720914:AWI720923 BGE720914:BGE720923 BQA720914:BQA720923 BZW720914:BZW720923 CJS720914:CJS720923 CTO720914:CTO720923 DDK720914:DDK720923 DNG720914:DNG720923 DXC720914:DXC720923 EGY720914:EGY720923 EQU720914:EQU720923 FAQ720914:FAQ720923 FKM720914:FKM720923 FUI720914:FUI720923 GEE720914:GEE720923 GOA720914:GOA720923 GXW720914:GXW720923 HHS720914:HHS720923 HRO720914:HRO720923 IBK720914:IBK720923 ILG720914:ILG720923 IVC720914:IVC720923 JEY720914:JEY720923 JOU720914:JOU720923 JYQ720914:JYQ720923 KIM720914:KIM720923 KSI720914:KSI720923 LCE720914:LCE720923 LMA720914:LMA720923 LVW720914:LVW720923 MFS720914:MFS720923 MPO720914:MPO720923 MZK720914:MZK720923 NJG720914:NJG720923 NTC720914:NTC720923 OCY720914:OCY720923 OMU720914:OMU720923 OWQ720914:OWQ720923 PGM720914:PGM720923 PQI720914:PQI720923 QAE720914:QAE720923 QKA720914:QKA720923 QTW720914:QTW720923 RDS720914:RDS720923 RNO720914:RNO720923 RXK720914:RXK720923 SHG720914:SHG720923 SRC720914:SRC720923 TAY720914:TAY720923 TKU720914:TKU720923 TUQ720914:TUQ720923 UEM720914:UEM720923 UOI720914:UOI720923 UYE720914:UYE720923 VIA720914:VIA720923 VRW720914:VRW720923 WBS720914:WBS720923 WLO720914:WLO720923 WVK720914:WVK720923 IY786450:IY786459 SU786450:SU786459 ACQ786450:ACQ786459 AMM786450:AMM786459 AWI786450:AWI786459 BGE786450:BGE786459 BQA786450:BQA786459 BZW786450:BZW786459 CJS786450:CJS786459 CTO786450:CTO786459 DDK786450:DDK786459 DNG786450:DNG786459 DXC786450:DXC786459 EGY786450:EGY786459 EQU786450:EQU786459 FAQ786450:FAQ786459 FKM786450:FKM786459 FUI786450:FUI786459 GEE786450:GEE786459 GOA786450:GOA786459 GXW786450:GXW786459 HHS786450:HHS786459 HRO786450:HRO786459 IBK786450:IBK786459 ILG786450:ILG786459 IVC786450:IVC786459 JEY786450:JEY786459 JOU786450:JOU786459 JYQ786450:JYQ786459 KIM786450:KIM786459 KSI786450:KSI786459 LCE786450:LCE786459 LMA786450:LMA786459 LVW786450:LVW786459 MFS786450:MFS786459 MPO786450:MPO786459 MZK786450:MZK786459 NJG786450:NJG786459 NTC786450:NTC786459 OCY786450:OCY786459 OMU786450:OMU786459 OWQ786450:OWQ786459 PGM786450:PGM786459 PQI786450:PQI786459 QAE786450:QAE786459 QKA786450:QKA786459 QTW786450:QTW786459 RDS786450:RDS786459 RNO786450:RNO786459 RXK786450:RXK786459 SHG786450:SHG786459 SRC786450:SRC786459 TAY786450:TAY786459 TKU786450:TKU786459 TUQ786450:TUQ786459 UEM786450:UEM786459 UOI786450:UOI786459 UYE786450:UYE786459 VIA786450:VIA786459 VRW786450:VRW786459 WBS786450:WBS786459 WLO786450:WLO786459 WVK786450:WVK786459 IY851986:IY851995 SU851986:SU851995 ACQ851986:ACQ851995 AMM851986:AMM851995 AWI851986:AWI851995 BGE851986:BGE851995 BQA851986:BQA851995 BZW851986:BZW851995 CJS851986:CJS851995 CTO851986:CTO851995 DDK851986:DDK851995 DNG851986:DNG851995 DXC851986:DXC851995 EGY851986:EGY851995 EQU851986:EQU851995 FAQ851986:FAQ851995 FKM851986:FKM851995 FUI851986:FUI851995 GEE851986:GEE851995 GOA851986:GOA851995 GXW851986:GXW851995 HHS851986:HHS851995 HRO851986:HRO851995 IBK851986:IBK851995 ILG851986:ILG851995 IVC851986:IVC851995 JEY851986:JEY851995 JOU851986:JOU851995 JYQ851986:JYQ851995 KIM851986:KIM851995 KSI851986:KSI851995 LCE851986:LCE851995 LMA851986:LMA851995 LVW851986:LVW851995 MFS851986:MFS851995 MPO851986:MPO851995 MZK851986:MZK851995 NJG851986:NJG851995 NTC851986:NTC851995 OCY851986:OCY851995 OMU851986:OMU851995 OWQ851986:OWQ851995 PGM851986:PGM851995 PQI851986:PQI851995 QAE851986:QAE851995 QKA851986:QKA851995 QTW851986:QTW851995 RDS851986:RDS851995 RNO851986:RNO851995 RXK851986:RXK851995 SHG851986:SHG851995 SRC851986:SRC851995 TAY851986:TAY851995 TKU851986:TKU851995 TUQ851986:TUQ851995 UEM851986:UEM851995 UOI851986:UOI851995 UYE851986:UYE851995 VIA851986:VIA851995 VRW851986:VRW851995 WBS851986:WBS851995 WLO851986:WLO851995 WVK851986:WVK851995 IY917522:IY917531 SU917522:SU917531 ACQ917522:ACQ917531 AMM917522:AMM917531 AWI917522:AWI917531 BGE917522:BGE917531 BQA917522:BQA917531 BZW917522:BZW917531 CJS917522:CJS917531 CTO917522:CTO917531 DDK917522:DDK917531 DNG917522:DNG917531 DXC917522:DXC917531 EGY917522:EGY917531 EQU917522:EQU917531 FAQ917522:FAQ917531 FKM917522:FKM917531 FUI917522:FUI917531 GEE917522:GEE917531 GOA917522:GOA917531 GXW917522:GXW917531 HHS917522:HHS917531 HRO917522:HRO917531 IBK917522:IBK917531 ILG917522:ILG917531 IVC917522:IVC917531 JEY917522:JEY917531 JOU917522:JOU917531 JYQ917522:JYQ917531 KIM917522:KIM917531 KSI917522:KSI917531 LCE917522:LCE917531 LMA917522:LMA917531 LVW917522:LVW917531 MFS917522:MFS917531 MPO917522:MPO917531 MZK917522:MZK917531 NJG917522:NJG917531 NTC917522:NTC917531 OCY917522:OCY917531 OMU917522:OMU917531 OWQ917522:OWQ917531 PGM917522:PGM917531 PQI917522:PQI917531 QAE917522:QAE917531 QKA917522:QKA917531 QTW917522:QTW917531 RDS917522:RDS917531 RNO917522:RNO917531 RXK917522:RXK917531 SHG917522:SHG917531 SRC917522:SRC917531 TAY917522:TAY917531 TKU917522:TKU917531 TUQ917522:TUQ917531 UEM917522:UEM917531 UOI917522:UOI917531 UYE917522:UYE917531 VIA917522:VIA917531 VRW917522:VRW917531 WBS917522:WBS917531 WLO917522:WLO917531 WVK917522:WVK917531 IY983058:IY983067 SU983058:SU983067 ACQ983058:ACQ983067 AMM983058:AMM983067 AWI983058:AWI983067 BGE983058:BGE983067 BQA983058:BQA983067 BZW983058:BZW983067 CJS983058:CJS983067 CTO983058:CTO983067 DDK983058:DDK983067 DNG983058:DNG983067 DXC983058:DXC983067 EGY983058:EGY983067 EQU983058:EQU983067 FAQ983058:FAQ983067 FKM983058:FKM983067 FUI983058:FUI983067 GEE983058:GEE983067 GOA983058:GOA983067 GXW983058:GXW983067 HHS983058:HHS983067 HRO983058:HRO983067 IBK983058:IBK983067 ILG983058:ILG983067 IVC983058:IVC983067 JEY983058:JEY983067 JOU983058:JOU983067 JYQ983058:JYQ983067 KIM983058:KIM983067 KSI983058:KSI983067 LCE983058:LCE983067 LMA983058:LMA983067 LVW983058:LVW983067 MFS983058:MFS983067 MPO983058:MPO983067 MZK983058:MZK983067 NJG983058:NJG983067 NTC983058:NTC983067 OCY983058:OCY983067 OMU983058:OMU983067 OWQ983058:OWQ983067 PGM983058:PGM983067 PQI983058:PQI983067 QAE983058:QAE983067 QKA983058:QKA983067 QTW983058:QTW983067 RDS983058:RDS983067 RNO983058:RNO983067 RXK983058:RXK983067 SHG983058:SHG983067 SRC983058:SRC983067 TAY983058:TAY983067 TKU983058:TKU983067 TUQ983058:TUQ983067 UEM983058:UEM983067 UOI983058:UOI983067 UYE983058:UYE983067 VIA983058:VIA983067 VRW983058:VRW983067 WBS983058:WBS983067 WLO983058:WLO983067 WVK983058:WVK983067 WUZ33:WUZ36 WLD33:WLD36 WBH33:WBH36 VRL33:VRL36 VHP33:VHP36 UXT33:UXT36 UNX33:UNX36 UEB33:UEB36 TUF33:TUF36 TKJ33:TKJ36 TAN33:TAN36 SQR33:SQR36 SGV33:SGV36 RWZ33:RWZ36 RND33:RND36 RDH33:RDH36 QTL33:QTL36 QJP33:QJP36 PZT33:PZT36 PPX33:PPX36 PGB33:PGB36 OWF33:OWF36 OMJ33:OMJ36 OCN33:OCN36 NSR33:NSR36 NIV33:NIV36 MYZ33:MYZ36 MPD33:MPD36 MFH33:MFH36 LVL33:LVL36 LLP33:LLP36 LBT33:LBT36 KRX33:KRX36 KIB33:KIB36 JYF33:JYF36 JOJ33:JOJ36 JEN33:JEN36 IUR33:IUR36 IKV33:IKV36 IAZ33:IAZ36 HRD33:HRD36 HHH33:HHH36 GXL33:GXL36 GNP33:GNP36 GDT33:GDT36 FTX33:FTX36 FKB33:FKB36 FAF33:FAF36 EQJ33:EQJ36 EGN33:EGN36 DWR33:DWR36 DMV33:DMV36 DCZ33:DCZ36 CTD33:CTD36 CJH33:CJH36 BZL33:BZL36 BPP33:BPP36 BFT33:BFT36 AVX33:AVX36 AMB33:AMB36 ACF33:ACF36 SJ33:SJ36 IN33:IN36 IV14 SR14 ACN14 AMJ14 AWF14 BGB14 BPX14 BZT14 CJP14 CTL14 DDH14 DND14 DWZ14 EGV14 EQR14 FAN14 FKJ14 FUF14 GEB14 GNX14 GXT14 HHP14 HRL14 IBH14 ILD14 IUZ14 JEV14 JOR14 JYN14 KIJ14 KSF14 LCB14 LLX14 LVT14 MFP14 MPL14 MZH14 NJD14 NSZ14 OCV14 OMR14 OWN14 PGJ14 PQF14 QAB14 QJX14 QTT14 RDP14 RNL14 RXH14 SHD14 SQZ14 TAV14 TKR14 TUN14 UEJ14 UOF14 UYB14 VHX14 VRT14 WBP14 WLL14 WVB15:WVB19 WLF15:WLF19 WBJ15:WBJ19 VRN15:VRN19 VHR15:VHR19 UXV15:UXV19 UNZ15:UNZ19 UED15:UED19 TUH15:TUH19 TKL15:TKL19 TAP15:TAP19 SQT15:SQT19 SGX15:SGX19 RXB15:RXB19 RNF15:RNF19 RDJ15:RDJ19 QTN15:QTN19 QJR15:QJR19 PZV15:PZV19 PPZ15:PPZ19 PGD15:PGD19 OWH15:OWH19 OML15:OML19 OCP15:OCP19 NST15:NST19 NIX15:NIX19 MZB15:MZB19 MPF15:MPF19 MFJ15:MFJ19 LVN15:LVN19 LLR15:LLR19 LBV15:LBV19 KRZ15:KRZ19 KID15:KID19 JYH15:JYH19 JOL15:JOL19 JEP15:JEP19 IUT15:IUT19 IKX15:IKX19 IBB15:IBB19 HRF15:HRF19 HHJ15:HHJ19 GXN15:GXN19 GNR15:GNR19 GDV15:GDV19 FTZ15:FTZ19 FKD15:FKD19 FAH15:FAH19 EQL15:EQL19 EGP15:EGP19 DWT15:DWT19 DMX15:DMX19 DDB15:DDB19 CTF15:CTF19 CJJ15:CJJ19 BZN15:BZN19 BPR15:BPR19 BFV15:BFV19 AVZ15:AVZ19 AMD15:AMD19 ACH15:ACH19 SL15:SL19 IP15:IP19" xr:uid="{00000000-0002-0000-1B00-000000000000}">
      <formula1>#REF!</formula1>
    </dataValidation>
    <dataValidation type="list" allowBlank="1" showInputMessage="1" showErrorMessage="1" sqref="A26:C26" xr:uid="{00000000-0002-0000-1B00-000001000000}">
      <formula1>$H$1:$H$2</formula1>
    </dataValidation>
    <dataValidation type="list" allowBlank="1" showInputMessage="1" showErrorMessage="1" sqref="F29:F42 F43:F45" xr:uid="{00000000-0002-0000-1B00-000002000000}">
      <formula1>$H$1:$H$3</formula1>
    </dataValidation>
  </dataValidations>
  <pageMargins left="0.7" right="0.7" top="0.75" bottom="0.75" header="0.3" footer="0.3"/>
  <pageSetup orientation="portrait" r:id="rId1"/>
  <headerFooter>
    <oddHeader>&amp;L&amp;"-,Bold"&amp;18&amp;UPayment Request&amp;R&amp;G</oddHeader>
  </headerFooter>
  <legacyDrawingHF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0"/>
  <dimension ref="A1:H92"/>
  <sheetViews>
    <sheetView rightToLeft="1" topLeftCell="A28" zoomScale="110" zoomScaleNormal="110" workbookViewId="0">
      <selection activeCell="B54" sqref="B54"/>
    </sheetView>
  </sheetViews>
  <sheetFormatPr defaultRowHeight="15"/>
  <cols>
    <col min="1" max="1" width="39.5703125" bestFit="1" customWidth="1"/>
    <col min="2" max="2" width="62.42578125" customWidth="1"/>
    <col min="3" max="3" width="87" bestFit="1" customWidth="1"/>
    <col min="5" max="5" width="21.140625" bestFit="1" customWidth="1"/>
    <col min="6" max="6" width="20.140625" bestFit="1" customWidth="1"/>
    <col min="7" max="7" width="34.42578125" bestFit="1" customWidth="1"/>
    <col min="8" max="8" width="6.5703125" bestFit="1" customWidth="1"/>
  </cols>
  <sheetData>
    <row r="1" spans="1:8">
      <c r="A1" s="602" t="s">
        <v>507</v>
      </c>
      <c r="B1" s="262"/>
      <c r="C1" s="262"/>
      <c r="E1" s="603" t="s">
        <v>461</v>
      </c>
      <c r="F1" s="262"/>
      <c r="G1" s="262"/>
    </row>
    <row r="2" spans="1:8">
      <c r="A2" s="604" t="s">
        <v>462</v>
      </c>
      <c r="B2" s="604" t="s">
        <v>352</v>
      </c>
      <c r="C2" s="604" t="s">
        <v>463</v>
      </c>
      <c r="E2" s="570" t="s">
        <v>464</v>
      </c>
      <c r="F2" s="262" t="s">
        <v>465</v>
      </c>
      <c r="G2" s="605">
        <v>2.7E-2</v>
      </c>
      <c r="H2" t="s">
        <v>466</v>
      </c>
    </row>
    <row r="3" spans="1:8">
      <c r="A3" s="731" t="s">
        <v>467</v>
      </c>
      <c r="B3" s="731" t="s">
        <v>498</v>
      </c>
      <c r="C3" s="731" t="s">
        <v>504</v>
      </c>
      <c r="E3" s="262"/>
      <c r="F3" s="262" t="s">
        <v>465</v>
      </c>
      <c r="G3" s="605">
        <v>4.4999999999999998E-2</v>
      </c>
      <c r="H3" t="s">
        <v>468</v>
      </c>
    </row>
    <row r="4" spans="1:8">
      <c r="A4" s="731" t="s">
        <v>467</v>
      </c>
      <c r="B4" s="731" t="s">
        <v>499</v>
      </c>
      <c r="C4" s="731" t="s">
        <v>505</v>
      </c>
      <c r="E4" s="262"/>
      <c r="F4" s="262" t="s">
        <v>469</v>
      </c>
      <c r="G4" s="262" t="s">
        <v>470</v>
      </c>
    </row>
    <row r="5" spans="1:8">
      <c r="A5" s="731" t="s">
        <v>395</v>
      </c>
      <c r="B5" s="731">
        <v>60</v>
      </c>
      <c r="C5" s="731" t="s">
        <v>1545</v>
      </c>
      <c r="E5" s="606" t="s">
        <v>473</v>
      </c>
      <c r="F5" s="607" t="s">
        <v>474</v>
      </c>
      <c r="G5" s="607" t="s">
        <v>475</v>
      </c>
      <c r="H5" s="223"/>
    </row>
    <row r="6" spans="1:8">
      <c r="A6" s="731" t="s">
        <v>471</v>
      </c>
      <c r="B6" s="731" t="s">
        <v>472</v>
      </c>
      <c r="C6" s="731" t="s">
        <v>506</v>
      </c>
      <c r="E6" s="262"/>
      <c r="F6" s="262" t="s">
        <v>477</v>
      </c>
      <c r="G6" s="262"/>
    </row>
    <row r="7" spans="1:8">
      <c r="A7" s="731" t="s">
        <v>476</v>
      </c>
      <c r="B7" s="731" t="s">
        <v>508</v>
      </c>
      <c r="C7" s="731" t="s">
        <v>509</v>
      </c>
      <c r="E7" s="262"/>
      <c r="F7" s="262" t="s">
        <v>480</v>
      </c>
      <c r="G7" s="262"/>
    </row>
    <row r="8" spans="1:8">
      <c r="A8" s="731" t="s">
        <v>478</v>
      </c>
      <c r="B8" s="731" t="s">
        <v>479</v>
      </c>
      <c r="C8" s="731" t="s">
        <v>510</v>
      </c>
      <c r="E8" s="262"/>
      <c r="F8" s="262" t="s">
        <v>483</v>
      </c>
      <c r="G8" s="262"/>
    </row>
    <row r="9" spans="1:8">
      <c r="A9" s="731" t="s">
        <v>149</v>
      </c>
      <c r="B9" s="733">
        <v>0.5</v>
      </c>
      <c r="C9" s="731" t="str">
        <f>"عبء دين الزبون اكثر من 50%، وبالتالي رفع الدفعة الأولى الى "&amp;ROUND(D10*100,0)&amp;"%"&amp;" أي مبلغ تمويل "&amp;TEXT(D9,"0,0")&amp;" "&amp;IF(FC=USD,USD,IF(FC=ILS,ILS,IF(FC=EUR,EUR)))&amp;" بحيث لا يتجاوز عبء الدين 50%"</f>
        <v>عبء دين الزبون اكثر من 50%، وبالتالي رفع الدفعة الأولى الى 100% أي مبلغ تمويل 00 دولار بحيث لا يتجاوز عبء الدين 50%</v>
      </c>
      <c r="D9" s="596">
        <f>((التوصية!D23+التوصية!D29+التوصية!D35+التوصية!D41)*B9-التوصية!B198)*التوصية!$D$283/(1+التوصية!$B$286*التوصية!$D$283/12)</f>
        <v>0</v>
      </c>
    </row>
    <row r="10" spans="1:8">
      <c r="A10" s="731" t="s">
        <v>485</v>
      </c>
      <c r="B10" s="731" t="s">
        <v>486</v>
      </c>
      <c r="C10" s="731" t="s">
        <v>516</v>
      </c>
      <c r="D10" s="618">
        <f>1-D9/التوصية!B258</f>
        <v>1</v>
      </c>
    </row>
    <row r="11" spans="1:8">
      <c r="A11" s="726" t="s">
        <v>484</v>
      </c>
      <c r="B11" s="726"/>
      <c r="C11" s="726" t="s">
        <v>519</v>
      </c>
    </row>
    <row r="12" spans="1:8">
      <c r="A12" s="726" t="s">
        <v>521</v>
      </c>
      <c r="B12" s="726" t="str">
        <f>'بيانات للادخال'!J14</f>
        <v>بضائع</v>
      </c>
      <c r="C12" s="726" t="s">
        <v>530</v>
      </c>
    </row>
    <row r="13" spans="1:8">
      <c r="A13" s="262"/>
      <c r="B13" s="262"/>
      <c r="C13" s="262"/>
    </row>
    <row r="14" spans="1:8">
      <c r="A14" s="608" t="s">
        <v>487</v>
      </c>
      <c r="B14" s="262"/>
      <c r="C14" s="262"/>
    </row>
    <row r="15" spans="1:8">
      <c r="A15" s="604" t="s">
        <v>462</v>
      </c>
      <c r="B15" s="604" t="s">
        <v>352</v>
      </c>
      <c r="C15" s="604" t="s">
        <v>463</v>
      </c>
    </row>
    <row r="16" spans="1:8">
      <c r="A16" s="731" t="s">
        <v>532</v>
      </c>
      <c r="B16" s="731" t="s">
        <v>488</v>
      </c>
      <c r="C16" s="731" t="str">
        <f>"الزبون مصنف "&amp;B16&amp;" وبالتالي بحاجة الى كفيل ذو كفاءة مالية او براتب مثبّت بعمله"</f>
        <v>الزبون مصنف B وبالتالي بحاجة الى كفيل ذو كفاءة مالية او براتب مثبّت بعمله</v>
      </c>
    </row>
    <row r="17" spans="1:4" ht="45">
      <c r="A17" s="731" t="s">
        <v>489</v>
      </c>
      <c r="B17" s="732" t="str">
        <f>"الدخل او جزء منه غير معكوس على الحساب البنكي حيث مجموع دخل الزبون بقيمة "&amp;TEXT(التوصية!$D$23+التوصية!$D$29+التوصية!$D$35+التوصية!$D$41,"0,0")&amp;" "&amp;IF(FC=USD,USD,IF(FC=ILS,ILS,IF(FC=EUR,EUR))&amp;" مقابل معدل ايداعات شهرية بقيمة "&amp;TEXT(التوصية!$D$174,"0,0")&amp;IF(FC=USD," "&amp;USD,IF(FC=ILS," "&amp;ILS,IF(FC=EUR," "&amp;EUR))))&amp;" وبالتالي مطلوب اثبات عمل، قسائم راتب، سندات قبض، تقرير زيارة، فواتير ماء، كهراباء، مشتريات، مبيعات، ميزانيات... الخ (ما ينطبق)"</f>
        <v>الدخل او جزء منه غير معكوس على الحساب البنكي حيث مجموع دخل الزبون بقيمة 00 دولار وبالتالي مطلوب اثبات عمل، قسائم راتب، سندات قبض، تقرير زيارة، فواتير ماء، كهراباء، مشتريات، مبيعات، ميزانيات... الخ (ما ينطبق)</v>
      </c>
      <c r="C17" s="262"/>
    </row>
    <row r="18" spans="1:4">
      <c r="A18" s="731"/>
      <c r="B18" s="732" t="s">
        <v>1245</v>
      </c>
      <c r="C18" s="648" t="str">
        <f>IF(OR(التوصية!$B$21='بيانات للادخال'!$X$5,التوصية!$B$21='بيانات للادخال'!$X$6)," • يتم احتساب 60% من الراتب لعمال الداخل، أي مبلغ "&amp;TEXT(التوصية!$D$23*0.6,"0,0")&amp;" "&amp;IF(FC=USD,USD,IF(FC=ILS,ILS,IF(FC=EUR,EUR)))&amp;" وبالتالي يكون عبء دين الزبون "&amp;ROUND(التوصية!$C$291/(التوصية!$D$23*0.6+التوصية!$E$30+التوصية!$E$36+التوصية!$E$42),2)*100&amp;"%","")</f>
        <v/>
      </c>
    </row>
    <row r="19" spans="1:4">
      <c r="A19" s="731" t="s">
        <v>149</v>
      </c>
      <c r="B19" s="733">
        <v>0.4</v>
      </c>
      <c r="C19" s="731" t="str">
        <f>"كفيل تعزيزي بغض النظر عن وجود له دخل كون عبء دين الزبون ما بين "&amp;'معاير الائتمان'!$B$19*100&amp;" % و "&amp;'معاير الائتمان'!$B$9*100&amp;"%"</f>
        <v>كفيل تعزيزي بغض النظر عن وجود له دخل كون عبء دين الزبون ما بين 40 % و 50%</v>
      </c>
    </row>
    <row r="20" spans="1:4">
      <c r="A20" s="731" t="s">
        <v>492</v>
      </c>
      <c r="B20" s="731">
        <v>1</v>
      </c>
      <c r="C20" s="731" t="str">
        <f>"كفيل ذو كفاءة مالية او براتب او رهونات كون الزبون في عمله منذ اقل من "&amp;'معاير الائتمان'!$B$20&amp;" عام"</f>
        <v>كفيل ذو كفاءة مالية او براتب او رهونات كون الزبون في عمله منذ اقل من 1 عام</v>
      </c>
    </row>
    <row r="21" spans="1:4">
      <c r="A21" s="731" t="s">
        <v>534</v>
      </c>
      <c r="B21" s="731" t="str">
        <f>'بيانات للادخال'!U2</f>
        <v>عقد سنوي</v>
      </c>
      <c r="C21" s="731" t="str">
        <f>"كفيل ذو كفاءة مالية او براتب او رهونات حيث الزبون يعمل على "&amp;B21</f>
        <v>كفيل ذو كفاءة مالية او براتب او رهونات حيث الزبون يعمل على عقد سنوي</v>
      </c>
    </row>
    <row r="22" spans="1:4">
      <c r="A22" s="731"/>
      <c r="B22" s="731" t="s">
        <v>536</v>
      </c>
      <c r="C22" s="731" t="s">
        <v>537</v>
      </c>
    </row>
    <row r="23" spans="1:4">
      <c r="A23" s="731" t="s">
        <v>481</v>
      </c>
      <c r="B23" s="731" t="s">
        <v>482</v>
      </c>
      <c r="C23" s="731" t="s">
        <v>539</v>
      </c>
    </row>
    <row r="24" spans="1:4">
      <c r="A24" s="734" t="str">
        <f>"تصنيف الكفيل "&amp;التوصية!$B$49&amp;" على الشيكات"</f>
        <v>تصنيف الكفيل  على الشيكات</v>
      </c>
      <c r="B24" s="734" t="s">
        <v>498</v>
      </c>
      <c r="C24" s="734" t="str">
        <f>"استبدال الكفيل "&amp;التوصية!$B$49&amp;" كونه مصنف 'C' على نظام الشيكات"</f>
        <v>استبدال الكفيل  كونه مصنف 'C' على نظام الشيكات</v>
      </c>
      <c r="D24" t="s">
        <v>560</v>
      </c>
    </row>
    <row r="25" spans="1:4">
      <c r="A25" s="734" t="str">
        <f>"تصنيف الكفيل "&amp;التوصية!$B$49&amp;" على الشيكات"</f>
        <v>تصنيف الكفيل  على الشيكات</v>
      </c>
      <c r="B25" s="734" t="s">
        <v>499</v>
      </c>
      <c r="C25" s="734" t="str">
        <f>"استبدال الكفيل "&amp;التوصية!$B$49&amp;" كونه مصنف 'D' على نظام الشيكات"</f>
        <v>استبدال الكفيل  كونه مصنف 'D' على نظام الشيكات</v>
      </c>
    </row>
    <row r="26" spans="1:4">
      <c r="A26" s="734" t="str">
        <f>"تصنيف الكفيل "&amp;التوصية!$B$79&amp;" على الشيكات"</f>
        <v>تصنيف الكفيل  على الشيكات</v>
      </c>
      <c r="B26" s="734" t="s">
        <v>498</v>
      </c>
      <c r="C26" s="734" t="str">
        <f>"استبدال الكفيل "&amp;التوصية!$B$79&amp;" كونه مصنف 'C' على نظام الشيكات"</f>
        <v>استبدال الكفيل  كونه مصنف 'C' على نظام الشيكات</v>
      </c>
    </row>
    <row r="27" spans="1:4">
      <c r="A27" s="734" t="str">
        <f>"تصنيف الكفيل "&amp;التوصية!$B$79&amp;" على الشيكات"</f>
        <v>تصنيف الكفيل  على الشيكات</v>
      </c>
      <c r="B27" s="734" t="s">
        <v>499</v>
      </c>
      <c r="C27" s="734" t="str">
        <f>"استبدال الكفيل "&amp;التوصية!$B$79&amp;" كونه مصنف 'D' على نظام الشيكات"</f>
        <v>استبدال الكفيل  كونه مصنف 'D' على نظام الشيكات</v>
      </c>
    </row>
    <row r="28" spans="1:4">
      <c r="A28" s="734" t="str">
        <f>"تصنيف الكفيل "&amp;التوصية!$B$109&amp;" على الشيكات"</f>
        <v>تصنيف الكفيل  على الشيكات</v>
      </c>
      <c r="B28" s="734" t="s">
        <v>498</v>
      </c>
      <c r="C28" s="734" t="str">
        <f>"استبدال الكفيل "&amp;التوصية!$B$109&amp;" كونه مصنف 'C' على نظام الشيكات"</f>
        <v>استبدال الكفيل  كونه مصنف 'C' على نظام الشيكات</v>
      </c>
    </row>
    <row r="29" spans="1:4">
      <c r="A29" s="734" t="str">
        <f>"تصنيف الكفيل "&amp;التوصية!$B$109&amp;" على الشيكات"</f>
        <v>تصنيف الكفيل  على الشيكات</v>
      </c>
      <c r="B29" s="734" t="s">
        <v>499</v>
      </c>
      <c r="C29" s="734" t="str">
        <f>"استبدال الكفيل "&amp;التوصية!$B$109&amp;" كونه مصنف 'D' على نظام الشيكات"</f>
        <v>استبدال الكفيل  كونه مصنف 'D' على نظام الشيكات</v>
      </c>
    </row>
    <row r="30" spans="1:4">
      <c r="A30" s="734" t="str">
        <f>"تصنيف الكفيل "&amp;التوصية!$B$139&amp;" على الشيكات"</f>
        <v>تصنيف الكفيل  على الشيكات</v>
      </c>
      <c r="B30" s="734" t="s">
        <v>498</v>
      </c>
      <c r="C30" s="734" t="str">
        <f>"استبدال الكفيل "&amp;التوصية!$B$139&amp;" كونه مصنف 'C' على نظام الشيكات"</f>
        <v>استبدال الكفيل  كونه مصنف 'C' على نظام الشيكات</v>
      </c>
    </row>
    <row r="31" spans="1:4">
      <c r="A31" s="734" t="str">
        <f>"تصنيف الكفيل "&amp;التوصية!$B$139&amp;" على الشيكات"</f>
        <v>تصنيف الكفيل  على الشيكات</v>
      </c>
      <c r="B31" s="734" t="s">
        <v>499</v>
      </c>
      <c r="C31" s="734" t="str">
        <f>"استبدال الكفيل "&amp;التوصية!$B$139&amp;" كونه مصنف 'D' على نظام الشيكات"</f>
        <v>استبدال الكفيل  كونه مصنف 'D' على نظام الشيكات</v>
      </c>
    </row>
    <row r="32" spans="1:4">
      <c r="A32" s="734" t="str">
        <f>"قضايا الكفيل "&amp;التوصية!$B$49</f>
        <v xml:space="preserve">قضايا الكفيل </v>
      </c>
      <c r="B32" s="734" t="s">
        <v>472</v>
      </c>
      <c r="C32" s="734" t="str">
        <f>"• استبدال الكفيل "&amp;التوصية!$B$49&amp;"، حيث لديه قضية "&amp;التوصية!$B235</f>
        <v>• استبدال الكفيل ، حيث لديه قضية لا يوجد</v>
      </c>
    </row>
    <row r="33" spans="1:4">
      <c r="A33" s="734" t="str">
        <f>"قضايا الكفيل "&amp;التوصية!$B$79</f>
        <v xml:space="preserve">قضايا الكفيل </v>
      </c>
      <c r="B33" s="734" t="s">
        <v>472</v>
      </c>
      <c r="C33" s="734" t="str">
        <f>"• استبدال الكفيل "&amp;التوصية!$B$79&amp;"، حيث لديه قضية "&amp;التوصية!$B236</f>
        <v>• استبدال الكفيل ، حيث لديه قضية لا يوجد</v>
      </c>
    </row>
    <row r="34" spans="1:4">
      <c r="A34" s="734" t="str">
        <f>"قضايا الكفيل "&amp;التوصية!$B$109</f>
        <v xml:space="preserve">قضايا الكفيل </v>
      </c>
      <c r="B34" s="734" t="s">
        <v>472</v>
      </c>
      <c r="C34" s="734" t="str">
        <f>"• استبدال الكفيل "&amp;التوصية!$B$109&amp;"، حيث لديه قضية "&amp;التوصية!$B237</f>
        <v>• استبدال الكفيل ، حيث لديه قضية لا يوجد</v>
      </c>
    </row>
    <row r="35" spans="1:4">
      <c r="A35" s="734" t="str">
        <f>"قضايا الكفيل "&amp;التوصية!$B$139</f>
        <v xml:space="preserve">قضايا الكفيل </v>
      </c>
      <c r="B35" s="734" t="s">
        <v>472</v>
      </c>
      <c r="C35" s="734" t="str">
        <f>"• استبدال الكفيل "&amp;التوصية!$B$139&amp;"، حيث لديه قضية "&amp;التوصية!$B238</f>
        <v xml:space="preserve">• استبدال الكفيل ، حيث لديه قضية </v>
      </c>
    </row>
    <row r="36" spans="1:4">
      <c r="A36" s="734" t="str">
        <f>"عمر الكفيل "&amp;التوصية!B49</f>
        <v xml:space="preserve">عمر الكفيل </v>
      </c>
      <c r="B36" s="734">
        <v>60</v>
      </c>
      <c r="C36" s="734" t="str">
        <f ca="1">IF(التوصية!$D$52&gt;=$B$36,"• استبدال الكفيل "&amp;التوصية!$B$49&amp;" (في حال عدم وجود كفيل غيره) حيث عمره 60 عام فاكثر ","")</f>
        <v xml:space="preserve">• استبدال الكفيل  (في حال عدم وجود كفيل غيره) حيث عمره 60 عام فاكثر </v>
      </c>
    </row>
    <row r="37" spans="1:4">
      <c r="A37" s="734" t="str">
        <f>"عمر الكفيل "&amp;التوصية!B79</f>
        <v xml:space="preserve">عمر الكفيل </v>
      </c>
      <c r="B37" s="734">
        <v>60</v>
      </c>
      <c r="C37" s="734" t="str">
        <f ca="1">IF(التوصية!$D$82&gt;=$B$37,"• استبدال الكفيل "&amp;التوصية!$B$79&amp;" (في حال عدم وجود كفيل غيره) حيث عمره 60 عام فاكثر ","")</f>
        <v xml:space="preserve">• استبدال الكفيل  (في حال عدم وجود كفيل غيره) حيث عمره 60 عام فاكثر </v>
      </c>
    </row>
    <row r="38" spans="1:4">
      <c r="A38" s="734" t="str">
        <f>"عمر الكفيل "&amp;التوصية!B109</f>
        <v xml:space="preserve">عمر الكفيل </v>
      </c>
      <c r="B38" s="734">
        <v>60</v>
      </c>
      <c r="C38" s="734" t="str">
        <f ca="1">IF(التوصية!$D$112&gt;=$B$38,"• استبدال الكفيل "&amp;التوصية!$B$109&amp;" (في حال عدم وجود كفيل غيره) حيث عمره 60 عام فاكثر ","")</f>
        <v xml:space="preserve">• استبدال الكفيل  (في حال عدم وجود كفيل غيره) حيث عمره 60 عام فاكثر </v>
      </c>
    </row>
    <row r="39" spans="1:4">
      <c r="A39" s="734" t="str">
        <f>"عمر الكفيل "&amp;التوصية!B139</f>
        <v xml:space="preserve">عمر الكفيل </v>
      </c>
      <c r="B39" s="734">
        <v>60</v>
      </c>
      <c r="C39" s="734" t="str">
        <f ca="1">IF(التوصية!$D$142&gt;=$B$39,"• استبدال الكفيل "&amp;التوصية!$B$139&amp;" (في حال عدم وجود كفيل غيره) حيث عمره 60 عام فاكثر ","")</f>
        <v xml:space="preserve">• استبدال الكفيل  (في حال عدم وجود كفيل غيره) حيث عمره 60 عام فاكثر </v>
      </c>
    </row>
    <row r="40" spans="1:4">
      <c r="A40" s="728" t="s">
        <v>390</v>
      </c>
      <c r="B40" s="728" t="s">
        <v>419</v>
      </c>
      <c r="C40" s="728" t="s">
        <v>540</v>
      </c>
    </row>
    <row r="41" spans="1:4">
      <c r="A41" s="726" t="s">
        <v>490</v>
      </c>
      <c r="B41" s="726" t="str">
        <f>'بيانات للادخال'!J10</f>
        <v>ماكينة</v>
      </c>
      <c r="C41" s="726" t="s">
        <v>541</v>
      </c>
    </row>
    <row r="42" spans="1:4">
      <c r="A42" s="262"/>
      <c r="B42" s="726" t="str">
        <f>'بيانات للادخال'!J11</f>
        <v>جهاز طبي</v>
      </c>
      <c r="C42" s="262"/>
    </row>
    <row r="43" spans="1:4">
      <c r="A43" s="262"/>
      <c r="B43" s="726" t="str">
        <f>'بيانات للادخال'!J12</f>
        <v>أنظمة طاقة</v>
      </c>
      <c r="C43" s="262"/>
    </row>
    <row r="44" spans="1:4">
      <c r="A44" s="262"/>
      <c r="B44" s="726" t="str">
        <f>'بيانات للادخال'!J13</f>
        <v>معدات كهربائية</v>
      </c>
      <c r="C44" s="262"/>
    </row>
    <row r="45" spans="1:4">
      <c r="A45" s="726" t="s">
        <v>491</v>
      </c>
      <c r="B45" s="727">
        <f>IFERROR(التوصية!D272,"")</f>
        <v>0</v>
      </c>
      <c r="C45" s="726" t="str">
        <f>"رفع الدفعة الأولى للاصل ("&amp;التوصية!A253&amp;") الى "&amp;ROUND(التوصية!G272*100,0)&amp;"%"&amp;" كون قيمة عرض السعر  اعلى بنسبة "&amp;ROUND(التوصية!F272*100,0)&amp;"% من متوسط القيمة السوقية"</f>
        <v>رفع الدفعة الأولى للاصل (0) الى 129% كون قيمة عرض السعر  اعلى بنسبة 100% من متوسط القيمة السوقية</v>
      </c>
      <c r="D45" t="s">
        <v>550</v>
      </c>
    </row>
    <row r="46" spans="1:4">
      <c r="A46" s="726"/>
      <c r="B46" s="727" t="str">
        <f>IFERROR(التوصية!D273,"")</f>
        <v/>
      </c>
      <c r="C46" s="726" t="e">
        <f>"رفع الدفعة الأولى للاصل ("&amp;التوصية!A254&amp;") الى "&amp;ROUND(التوصية!G273*100,0)&amp;"%"&amp;" كون قيمة عرض السعر  اعلى بنسبة "&amp;ROUND(التوصية!F273*100,0)&amp;"% من متوسط القيمة السوقية"</f>
        <v>#VALUE!</v>
      </c>
    </row>
    <row r="47" spans="1:4">
      <c r="A47" s="726"/>
      <c r="B47" s="727" t="str">
        <f>IFERROR(التوصية!D274,"")</f>
        <v/>
      </c>
      <c r="C47" s="726" t="e">
        <f>"رفع الدفعة الأولى للاصل ("&amp;التوصية!A255&amp;") الى "&amp;ROUND(التوصية!G274*100,0)&amp;"%"&amp;" كون قيمة عرض السعر  اعلى بنسبة "&amp;ROUND(التوصية!F274*100,0)&amp;"% من متوسط القيمة السوقية"</f>
        <v>#VALUE!</v>
      </c>
    </row>
    <row r="48" spans="1:4">
      <c r="A48" s="726"/>
      <c r="B48" s="727" t="str">
        <f>IFERROR(التوصية!D275,"")</f>
        <v/>
      </c>
      <c r="C48" s="726" t="e">
        <f>"رفع الدفعة الأولى للاصل ("&amp;التوصية!A256&amp;") الى "&amp;ROUND(التوصية!G275*100,0)&amp;"%"&amp;" كون قيمة عرض السعر  اعلى بنسبة "&amp;ROUND(التوصية!F275*100,0)&amp;"% من متوسط القيمة السوقية"</f>
        <v>#VALUE!</v>
      </c>
    </row>
    <row r="49" spans="1:4">
      <c r="A49" s="726"/>
      <c r="B49" s="727" t="str">
        <f>IFERROR(التوصية!D276,"")</f>
        <v/>
      </c>
      <c r="C49" s="726" t="e">
        <f>"رفع الدفعة الأولى للاصل ("&amp;التوصية!A257&amp;") الى "&amp;ROUND(التوصية!G276*100,0)&amp;"%"&amp;" كون قيمة عرض السعر  اعلى بنسبة "&amp;ROUND(التوصية!F276*100,0)&amp;"% من متوسط القيمة السوقية"</f>
        <v>#VALUE!</v>
      </c>
    </row>
    <row r="50" spans="1:4">
      <c r="A50" s="729" t="s">
        <v>531</v>
      </c>
      <c r="B50" s="730">
        <f>IF(FC=USD,50000,IF(FC=ILS,50000*usdrate,IF(FC=EUR,50000/eurrate)))</f>
        <v>50000</v>
      </c>
      <c r="C50" s="729" t="s">
        <v>543</v>
      </c>
    </row>
    <row r="51" spans="1:4">
      <c r="A51" s="729"/>
      <c r="B51" s="730">
        <f>IF(FC=USD,100000,IF(FC=ILS,100000*usdrate,IF(FC=EUR,100000/eurrate)))</f>
        <v>100000</v>
      </c>
      <c r="C51" s="729" t="s">
        <v>541</v>
      </c>
    </row>
    <row r="52" spans="1:4">
      <c r="A52" s="729"/>
      <c r="B52" s="730">
        <v>100000</v>
      </c>
      <c r="C52" s="729" t="str">
        <f>IF(IF(FC=USD,FCA,IF(FC=ILS,FCA/usdrate,IF(FC=EUR,FCA*eurrate)))&gt;=$B$52,"• موافقة مجلس الادارة كون مبلغ التمويل 100 الف دولار فاكثر","")</f>
        <v/>
      </c>
    </row>
    <row r="53" spans="1:4">
      <c r="A53" s="726" t="str">
        <f>'بيانات للادخال'!J4</f>
        <v>مركبة خاصة (مرخصة)</v>
      </c>
      <c r="B53" s="726" t="str">
        <f>'بيانات للادخال'!F4</f>
        <v>لا يوجد</v>
      </c>
      <c r="C53" s="726" t="s">
        <v>556</v>
      </c>
    </row>
    <row r="54" spans="1:4">
      <c r="A54" s="725" t="str">
        <f>'بيانات للادخال'!J2</f>
        <v>مركبة خاصة (وكالة)</v>
      </c>
      <c r="B54" s="725">
        <v>48</v>
      </c>
      <c r="C54" s="725" t="str">
        <f t="shared" ref="C54:C61" si="0">IF(tenor&gt;B54," • تخفيض فترة السداد الى "&amp;B54&amp;" شهر في حال عبء الدين يسمح بذلك","")</f>
        <v/>
      </c>
    </row>
    <row r="55" spans="1:4">
      <c r="A55" s="725" t="str">
        <f>'بيانات للادخال'!J3</f>
        <v>مركبة خاصة (مستورد)</v>
      </c>
      <c r="B55" s="725">
        <v>48</v>
      </c>
      <c r="C55" s="725" t="str">
        <f t="shared" si="0"/>
        <v/>
      </c>
    </row>
    <row r="56" spans="1:4">
      <c r="A56" s="725" t="str">
        <f>'بيانات للادخال'!J4</f>
        <v>مركبة خاصة (مرخصة)</v>
      </c>
      <c r="B56" s="725">
        <v>48</v>
      </c>
      <c r="C56" s="725" t="str">
        <f t="shared" si="0"/>
        <v/>
      </c>
    </row>
    <row r="57" spans="1:4">
      <c r="A57" s="725" t="str">
        <f>'بيانات للادخال'!J5</f>
        <v>مركبة تجارية</v>
      </c>
      <c r="B57" s="725">
        <v>48</v>
      </c>
      <c r="C57" s="725" t="str">
        <f t="shared" si="0"/>
        <v/>
      </c>
    </row>
    <row r="58" spans="1:4">
      <c r="A58" s="725" t="str">
        <f>'بيانات للادخال'!J8</f>
        <v>جرار زراعي</v>
      </c>
      <c r="B58" s="725">
        <v>48</v>
      </c>
      <c r="C58" s="725" t="str">
        <f t="shared" si="0"/>
        <v/>
      </c>
    </row>
    <row r="59" spans="1:4">
      <c r="A59" s="725" t="str">
        <f>'بيانات للادخال'!J11</f>
        <v>جهاز طبي</v>
      </c>
      <c r="B59" s="725">
        <v>36</v>
      </c>
      <c r="C59" s="725" t="str">
        <f t="shared" si="0"/>
        <v xml:space="preserve"> • تخفيض فترة السداد الى 36 شهر في حال عبء الدين يسمح بذلك</v>
      </c>
    </row>
    <row r="60" spans="1:4">
      <c r="A60" s="725" t="str">
        <f>'بيانات للادخال'!J12</f>
        <v>أنظمة طاقة</v>
      </c>
      <c r="B60" s="725">
        <v>36</v>
      </c>
      <c r="C60" s="725" t="str">
        <f t="shared" si="0"/>
        <v xml:space="preserve"> • تخفيض فترة السداد الى 36 شهر في حال عبء الدين يسمح بذلك</v>
      </c>
    </row>
    <row r="61" spans="1:4">
      <c r="A61" s="725" t="str">
        <f>'بيانات للادخال'!J13</f>
        <v>معدات كهربائية</v>
      </c>
      <c r="B61" s="725">
        <v>36</v>
      </c>
      <c r="C61" s="725" t="str">
        <f t="shared" si="0"/>
        <v xml:space="preserve"> • تخفيض فترة السداد الى 36 شهر في حال عبء الدين يسمح بذلك</v>
      </c>
    </row>
    <row r="62" spans="1:4">
      <c r="A62" s="725" t="s">
        <v>428</v>
      </c>
      <c r="B62" s="735">
        <f>IF(FC=USD,10000,IF(FC=ILS,10000*usdrate,IF(FC=EUR,10000/eurrate)))</f>
        <v>10000</v>
      </c>
      <c r="C62" s="725" t="str">
        <f>IF(FCA&lt;B62," • مبلغ التمويل "&amp;TEXT(FCA,"0,0")&amp;" "&amp;IF(FC=USD,USD,IF(FC=ILS,ILS,IF(FC=EUR,EUR)))&amp;" (دون 10 الاف دولار)"&amp;" وبالتالي رفع نسبة الربح الى "&amp;ROUND(D62*100,2)&amp;"%","")</f>
        <v xml:space="preserve"> • مبلغ التمويل 7,343 دولار (دون 10 الاف دولار) وبالتالي رفع نسبة الربح الى 10%</v>
      </c>
      <c r="D62" s="619">
        <v>0.1</v>
      </c>
    </row>
    <row r="63" spans="1:4">
      <c r="A63" s="725"/>
      <c r="B63" s="735">
        <f>IF(FC=USD,15000,IF(FC=ILS,15000*usdrate,IF(FC=EUR,15000/eurrate)))</f>
        <v>15000</v>
      </c>
      <c r="C63" s="725" t="str">
        <f>IF(FCA&lt;B63," • مبلغ التمويل "&amp;TEXT(FCA,"0,0")&amp;" "&amp;IF(FC=USD,USD,IF(FC=ILS,ILS,IF(FC=EUR,EUR)))&amp;" (دون 15 الاف دولار)"&amp;" وبالتالي رفع نسبة الربح الى "&amp;ROUND(D63*100,2)&amp;"%","")</f>
        <v xml:space="preserve"> • مبلغ التمويل 7,343 دولار (دون 15 الاف دولار) وبالتالي رفع نسبة الربح الى 9%</v>
      </c>
      <c r="D63" s="619">
        <v>0.09</v>
      </c>
    </row>
    <row r="64" spans="1:4">
      <c r="A64" s="725"/>
      <c r="B64" s="735">
        <f>IF(FC=USD,20000,IF(FC=ILS,20000*usdrate,IF(FC=EUR,20000/eurrate)))</f>
        <v>20000</v>
      </c>
      <c r="C64" s="725" t="str">
        <f>IF(FCA&lt;B64," • مبلغ التمويل "&amp;TEXT(FCA,"0,0")&amp;" "&amp;IF(FC=USD,USD,IF(FC=ILS,ILS,IF(FC=EUR,EUR)))&amp;" (دون 20 الاف دولار)"&amp;" وبالتالي رفع نسبة الربح الى "&amp;ROUND(D64*100,2)&amp;"%","")</f>
        <v xml:space="preserve"> • مبلغ التمويل 7,343 دولار (دون 20 الاف دولار) وبالتالي رفع نسبة الربح الى 7.25%</v>
      </c>
      <c r="D64" s="619">
        <f>IF(التوصية!$B$279='بيانات للادخال'!$A$2,0.0725,IF(التوصية!$B$279='بيانات للادخال'!$A$3,0.0825))</f>
        <v>7.2499999999999995E-2</v>
      </c>
    </row>
    <row r="65" spans="1:4">
      <c r="A65" s="731" t="s">
        <v>557</v>
      </c>
      <c r="B65" s="731" t="s">
        <v>558</v>
      </c>
      <c r="C65" s="731" t="s">
        <v>573</v>
      </c>
    </row>
    <row r="66" spans="1:4">
      <c r="A66" s="731"/>
      <c r="B66" s="731" t="s">
        <v>559</v>
      </c>
      <c r="C66" s="731"/>
    </row>
    <row r="67" spans="1:4">
      <c r="A67" s="262"/>
      <c r="B67" s="262"/>
      <c r="C67" s="262"/>
    </row>
    <row r="68" spans="1:4" ht="15.75">
      <c r="A68" s="262"/>
      <c r="B68" s="613" t="e">
        <f ca="1">IF(التوصية!$B$199='معاير الائتمان'!$B$16," • "&amp;'معاير الائتمان'!$C$16,"")&amp;IF(التوصية!$D$23+التوصية!$D$29+التوصية!$D$35+التوصية!$D$41&lt;التوصية!$D$174*0.9," • "&amp;'معاير الائتمان'!$C$14,"")&amp;IF(التوصية!$D$23+التوصية!$D$29+التوصية!$D$35+التوصية!$D$41&gt;التوصية!$D$174*0.9," • "&amp;'معاير الائتمان'!$C$17,"")&amp;IF(AND(التوصية!$D$291&gt;'معاير الائتمان'!$B$19,التوصية!$D$291&lt;'معاير الائتمان'!$B$9)," • "&amp;'معاير الائتمان'!$C$19,"")&amp;IF((TODAY()-التوصية!$D$21)/365&lt;1," • "&amp;'معاير الائتمان'!C20)</f>
        <v>#DIV/0!</v>
      </c>
      <c r="C68" s="262"/>
    </row>
    <row r="69" spans="1:4">
      <c r="A69" s="609" t="s">
        <v>493</v>
      </c>
      <c r="B69" s="262"/>
      <c r="C69" s="262"/>
    </row>
    <row r="70" spans="1:4">
      <c r="A70" s="262" t="s">
        <v>494</v>
      </c>
    </row>
    <row r="79" spans="1:4">
      <c r="A79" s="262"/>
      <c r="B79" s="262"/>
      <c r="C79" s="262"/>
    </row>
    <row r="80" spans="1:4" s="648" customFormat="1" ht="15.75">
      <c r="A80" s="1745" t="s">
        <v>624</v>
      </c>
      <c r="B80" s="1746"/>
      <c r="C80" s="1746"/>
      <c r="D80" s="1747"/>
    </row>
    <row r="81" spans="1:4" s="648" customFormat="1" ht="93.75" customHeight="1">
      <c r="A81" s="1748"/>
      <c r="B81" s="1749"/>
      <c r="C81" s="1749"/>
      <c r="D81" s="1750"/>
    </row>
    <row r="82" spans="1:4">
      <c r="A82" s="262"/>
      <c r="B82" s="262"/>
      <c r="C82" s="262"/>
    </row>
    <row r="83" spans="1:4">
      <c r="A83" s="262"/>
      <c r="B83" s="262"/>
      <c r="C83" s="262"/>
    </row>
    <row r="84" spans="1:4">
      <c r="A84" s="262"/>
      <c r="B84" s="262"/>
      <c r="C84" s="262"/>
    </row>
    <row r="85" spans="1:4">
      <c r="A85" s="262"/>
      <c r="B85" s="262"/>
      <c r="C85" s="262"/>
    </row>
    <row r="86" spans="1:4">
      <c r="A86" s="262"/>
      <c r="B86" s="262"/>
      <c r="C86" s="262"/>
    </row>
    <row r="87" spans="1:4">
      <c r="A87" s="262"/>
      <c r="B87" s="262"/>
      <c r="C87" s="262"/>
    </row>
    <row r="88" spans="1:4">
      <c r="A88" s="569">
        <v>1</v>
      </c>
      <c r="B88" s="262"/>
      <c r="C88" s="262"/>
    </row>
    <row r="89" spans="1:4">
      <c r="A89" s="569">
        <v>0.75</v>
      </c>
      <c r="B89" s="262"/>
      <c r="C89" s="262"/>
    </row>
    <row r="90" spans="1:4">
      <c r="A90" s="569">
        <v>0.6</v>
      </c>
      <c r="B90" s="262"/>
      <c r="C90" s="262"/>
    </row>
    <row r="91" spans="1:4">
      <c r="A91" s="262"/>
      <c r="B91" s="262"/>
      <c r="C91" s="262"/>
    </row>
    <row r="92" spans="1:4">
      <c r="A92" s="262"/>
      <c r="B92" s="262"/>
      <c r="C92" s="262"/>
    </row>
  </sheetData>
  <mergeCells count="2">
    <mergeCell ref="A80:D80"/>
    <mergeCell ref="A81:D81"/>
  </mergeCells>
  <conditionalFormatting sqref="B45:B49">
    <cfRule type="cellIs" dxfId="14" priority="20" operator="equal">
      <formula>""</formula>
    </cfRule>
  </conditionalFormatting>
  <conditionalFormatting sqref="B50:B52">
    <cfRule type="cellIs" dxfId="13" priority="17" operator="equal">
      <formula>""</formula>
    </cfRule>
  </conditionalFormatting>
  <conditionalFormatting sqref="D9">
    <cfRule type="cellIs" dxfId="12" priority="13" operator="equal">
      <formula>"n/a"</formula>
    </cfRule>
    <cfRule type="cellIs" dxfId="11" priority="14" operator="equal">
      <formula>""</formula>
    </cfRule>
  </conditionalFormatting>
  <conditionalFormatting sqref="D9">
    <cfRule type="cellIs" dxfId="10" priority="12" operator="equal">
      <formula>""</formula>
    </cfRule>
  </conditionalFormatting>
  <conditionalFormatting sqref="B62:B64">
    <cfRule type="cellIs" dxfId="9" priority="3" operator="equal">
      <formula>""</formula>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8" id="{D9D8F50A-9200-4918-9E6C-2145393EE5F0}">
            <xm:f>$B$40='بيانات للادخال'!$A$3</xm:f>
            <x14:dxf>
              <numFmt numFmtId="178" formatCode="[$₪-40D]\ #,##0"/>
            </x14:dxf>
          </x14:cfRule>
          <x14:cfRule type="expression" priority="19" id="{2A4AEE56-D8C6-46BB-9C87-590471EA38CF}">
            <xm:f>$B$40='بيانات للادخال'!$A$2</xm:f>
            <x14:dxf>
              <numFmt numFmtId="177" formatCode="&quot;$&quot;#,##0"/>
            </x14:dxf>
          </x14:cfRule>
          <xm:sqref>B45:B49</xm:sqref>
        </x14:conditionalFormatting>
        <x14:conditionalFormatting xmlns:xm="http://schemas.microsoft.com/office/excel/2006/main">
          <x14:cfRule type="expression" priority="15" id="{14FB1ED6-68FD-46A5-AA62-57165FF9733A}">
            <xm:f>$B$40='بيانات للادخال'!$A$3</xm:f>
            <x14:dxf>
              <numFmt numFmtId="178" formatCode="[$₪-40D]\ #,##0"/>
            </x14:dxf>
          </x14:cfRule>
          <x14:cfRule type="expression" priority="16" id="{3B29E77E-4661-426D-8483-B58A7A17C142}">
            <xm:f>$B$40='بيانات للادخال'!$A$2</xm:f>
            <x14:dxf>
              <numFmt numFmtId="177" formatCode="&quot;$&quot;#,##0"/>
            </x14:dxf>
          </x14:cfRule>
          <xm:sqref>B50:B52</xm:sqref>
        </x14:conditionalFormatting>
        <x14:conditionalFormatting xmlns:xm="http://schemas.microsoft.com/office/excel/2006/main">
          <x14:cfRule type="expression" priority="10" id="{44638FF9-52FD-4A09-BDE4-95F84843832D}">
            <xm:f>$B$40='\Users\yazan.nazzal\Desktop\توصية ائتمانية\افراد\[زياد الحوراني.xlsx]بيانات للادخال'!#REF!</xm:f>
            <x14:dxf>
              <numFmt numFmtId="178" formatCode="[$₪-40D]\ #,##0"/>
            </x14:dxf>
          </x14:cfRule>
          <x14:cfRule type="expression" priority="11" id="{FA917291-44D5-48EB-BFF8-22E7CCC5919F}">
            <xm:f>$B$40='\Users\yazan.nazzal\Desktop\توصية ائتمانية\افراد\[زياد الحوراني.xlsx]بيانات للادخال'!#REF!</xm:f>
            <x14:dxf>
              <numFmt numFmtId="177" formatCode="&quot;$&quot;#,##0"/>
            </x14:dxf>
          </x14:cfRule>
          <xm:sqref>D9</xm:sqref>
        </x14:conditionalFormatting>
        <x14:conditionalFormatting xmlns:xm="http://schemas.microsoft.com/office/excel/2006/main">
          <x14:cfRule type="expression" priority="1" id="{24679B4E-F91D-4517-8023-65056CD93815}">
            <xm:f>$B$40='\Users\ghasoub.aqel\Documents\Test\[يحيى علا Test.xlsx]بيانات للادخال'!#REF!</xm:f>
            <x14:dxf>
              <numFmt numFmtId="178" formatCode="[$₪-40D]\ #,##0"/>
            </x14:dxf>
          </x14:cfRule>
          <x14:cfRule type="expression" priority="2" id="{8187A2B3-85FE-4A71-97BE-E8A9321E63F3}">
            <xm:f>$B$40='\Users\ghasoub.aqel\Documents\Test\[يحيى علا Test.xlsx]بيانات للادخال'!#REF!</xm:f>
            <x14:dxf>
              <numFmt numFmtId="177" formatCode="&quot;$&quot;#,##0"/>
            </x14:dxf>
          </x14:cfRule>
          <xm:sqref>B62:B64</xm:sqref>
        </x14:conditionalFormatting>
      </x14:conditionalFormatting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6">
    <tabColor rgb="FFFFC000"/>
  </sheetPr>
  <dimension ref="A1:ED147"/>
  <sheetViews>
    <sheetView rightToLeft="1" topLeftCell="B1" zoomScaleNormal="100" workbookViewId="0">
      <selection activeCell="G22" sqref="G22"/>
    </sheetView>
  </sheetViews>
  <sheetFormatPr defaultRowHeight="15"/>
  <cols>
    <col min="1" max="1" width="6.28515625" bestFit="1" customWidth="1"/>
    <col min="2" max="2" width="13.5703125" customWidth="1"/>
    <col min="3" max="3" width="12.5703125" bestFit="1" customWidth="1"/>
    <col min="4" max="4" width="10" customWidth="1"/>
    <col min="5" max="5" width="12.5703125" bestFit="1" customWidth="1"/>
    <col min="6" max="6" width="13.140625" bestFit="1" customWidth="1"/>
    <col min="7" max="7" width="12.42578125" customWidth="1"/>
    <col min="8" max="8" width="12.5703125" bestFit="1" customWidth="1"/>
    <col min="9" max="9" width="15" bestFit="1" customWidth="1"/>
    <col min="10" max="10" width="14.7109375" customWidth="1"/>
    <col min="12" max="12" width="10.7109375" bestFit="1" customWidth="1"/>
    <col min="13" max="13" width="18.140625" bestFit="1" customWidth="1"/>
    <col min="14" max="14" width="17.7109375" bestFit="1" customWidth="1"/>
    <col min="15" max="15" width="8.42578125" style="73" customWidth="1"/>
    <col min="16" max="16" width="7.5703125" style="73" customWidth="1"/>
    <col min="17" max="17" width="18" style="97" customWidth="1"/>
    <col min="18" max="18" width="17.5703125" style="97" customWidth="1"/>
    <col min="19" max="19" width="9.5703125" style="97" customWidth="1"/>
    <col min="20" max="20" width="9.28515625" style="97" customWidth="1"/>
    <col min="21" max="21" width="10.5703125" style="97" bestFit="1" customWidth="1"/>
    <col min="22" max="22" width="14.7109375" customWidth="1"/>
    <col min="23" max="23" width="8.42578125" style="73" customWidth="1"/>
    <col min="24" max="24" width="7.42578125" style="73" customWidth="1"/>
    <col min="25" max="25" width="18" style="97" customWidth="1"/>
    <col min="26" max="26" width="17.5703125" style="97" customWidth="1"/>
    <col min="27" max="28" width="10.5703125" style="97" customWidth="1"/>
    <col min="29" max="29" width="10.5703125" style="97" bestFit="1" customWidth="1"/>
    <col min="30" max="30" width="9.140625" customWidth="1"/>
    <col min="31" max="31" width="8.42578125" style="73" customWidth="1"/>
    <col min="32" max="32" width="7.42578125" style="73" customWidth="1"/>
    <col min="33" max="33" width="18.140625" style="97" customWidth="1"/>
    <col min="34" max="34" width="17.7109375" style="97" customWidth="1"/>
    <col min="35" max="36" width="10.7109375" style="97" customWidth="1"/>
    <col min="37" max="37" width="11.5703125" style="97" bestFit="1" customWidth="1"/>
    <col min="38" max="38" width="9.140625" bestFit="1" customWidth="1"/>
    <col min="39" max="39" width="8.42578125" style="73" bestFit="1" customWidth="1"/>
    <col min="40" max="40" width="7.42578125" style="73" bestFit="1" customWidth="1"/>
    <col min="41" max="41" width="18.140625" style="97" bestFit="1" customWidth="1"/>
    <col min="42" max="42" width="17.7109375" style="97" bestFit="1" customWidth="1"/>
    <col min="43" max="44" width="10.7109375" style="97" bestFit="1" customWidth="1"/>
    <col min="45" max="45" width="11.5703125" style="97" bestFit="1" customWidth="1"/>
    <col min="47" max="47" width="8.42578125" style="73" bestFit="1" customWidth="1"/>
    <col min="48" max="48" width="7.42578125" style="73" bestFit="1" customWidth="1"/>
    <col min="49" max="49" width="18.140625" style="97" bestFit="1" customWidth="1"/>
    <col min="50" max="50" width="17.7109375" style="97" bestFit="1" customWidth="1"/>
    <col min="51" max="52" width="10.7109375" style="97" bestFit="1" customWidth="1"/>
    <col min="53" max="53" width="11.5703125" style="97" bestFit="1" customWidth="1"/>
    <col min="55" max="55" width="8.42578125" style="73" bestFit="1" customWidth="1"/>
    <col min="56" max="56" width="7.42578125" style="73" bestFit="1" customWidth="1"/>
    <col min="57" max="57" width="18.140625" style="97" bestFit="1" customWidth="1"/>
    <col min="58" max="58" width="17.7109375" style="97" bestFit="1" customWidth="1"/>
    <col min="59" max="60" width="10.7109375" style="97" bestFit="1" customWidth="1"/>
    <col min="61" max="61" width="11.5703125" style="97" bestFit="1" customWidth="1"/>
    <col min="63" max="63" width="8.42578125" style="73" bestFit="1" customWidth="1"/>
    <col min="64" max="64" width="7.42578125" style="73" bestFit="1" customWidth="1"/>
    <col min="65" max="65" width="18.140625" style="97" bestFit="1" customWidth="1"/>
    <col min="66" max="66" width="17.7109375" style="97" bestFit="1" customWidth="1"/>
    <col min="67" max="68" width="10.7109375" style="97" bestFit="1" customWidth="1"/>
    <col min="69" max="69" width="11.5703125" style="97" bestFit="1" customWidth="1"/>
    <col min="71" max="71" width="8.42578125" style="73" bestFit="1" customWidth="1"/>
    <col min="72" max="72" width="7.42578125" style="73" bestFit="1" customWidth="1"/>
    <col min="73" max="73" width="18.140625" style="97" bestFit="1" customWidth="1"/>
    <col min="74" max="74" width="17.7109375" style="97" bestFit="1" customWidth="1"/>
    <col min="75" max="76" width="10.7109375" style="97" bestFit="1" customWidth="1"/>
    <col min="77" max="77" width="11.5703125" style="97" bestFit="1" customWidth="1"/>
    <col min="79" max="79" width="8.42578125" style="73" bestFit="1" customWidth="1"/>
    <col min="80" max="80" width="7.42578125" style="73" bestFit="1" customWidth="1"/>
    <col min="81" max="81" width="18.140625" style="97" bestFit="1" customWidth="1"/>
    <col min="82" max="82" width="17.7109375" style="97" bestFit="1" customWidth="1"/>
    <col min="83" max="84" width="10.7109375" style="97" bestFit="1" customWidth="1"/>
    <col min="85" max="85" width="11.5703125" style="97" bestFit="1" customWidth="1"/>
    <col min="87" max="87" width="8.42578125" style="73" bestFit="1" customWidth="1"/>
    <col min="88" max="88" width="7.42578125" style="73" bestFit="1" customWidth="1"/>
    <col min="89" max="89" width="18.140625" style="97" bestFit="1" customWidth="1"/>
    <col min="90" max="90" width="17.7109375" style="97" bestFit="1" customWidth="1"/>
    <col min="91" max="92" width="10.7109375" style="97" bestFit="1" customWidth="1"/>
    <col min="93" max="93" width="11.5703125" style="97" bestFit="1" customWidth="1"/>
    <col min="95" max="95" width="8.42578125" style="73" bestFit="1" customWidth="1"/>
    <col min="96" max="96" width="7.42578125" style="73" bestFit="1" customWidth="1"/>
    <col min="97" max="97" width="18.140625" style="97" bestFit="1" customWidth="1"/>
    <col min="98" max="98" width="17.7109375" style="97" bestFit="1" customWidth="1"/>
    <col min="99" max="100" width="10.7109375" style="97" bestFit="1" customWidth="1"/>
    <col min="101" max="101" width="11.5703125" style="97" bestFit="1" customWidth="1"/>
    <col min="104" max="104" width="7.42578125" bestFit="1" customWidth="1"/>
    <col min="105" max="114" width="10.5703125" customWidth="1"/>
    <col min="115" max="117" width="11.7109375" customWidth="1"/>
    <col min="118" max="118" width="7.42578125" bestFit="1" customWidth="1"/>
    <col min="119" max="119" width="12.42578125" bestFit="1" customWidth="1"/>
    <col min="120" max="123" width="10.5703125" customWidth="1"/>
    <col min="124" max="124" width="9.140625" customWidth="1"/>
    <col min="125" max="125" width="29.42578125" customWidth="1"/>
    <col min="126" max="126" width="14.85546875" customWidth="1"/>
    <col min="127" max="129" width="12.140625" bestFit="1" customWidth="1"/>
    <col min="130" max="132" width="12.140625" customWidth="1"/>
    <col min="133" max="133" width="12.140625" bestFit="1" customWidth="1"/>
  </cols>
  <sheetData>
    <row r="1" spans="2:131">
      <c r="O1" s="73">
        <f>IF(N5=O4,U4,IF(N5=O5,U5,IF(N5=O6,U6,IF(N5=O7,U7,IF(N5=O8,U8,IF(N5=O9,U9,IF(N5=O10,U10,IF(N5=O11,U11,IF(N5=O12,U12,IF(N5=O13,U13,IF(N5=O14,U14,IF(N5=O15,U15,IF(N5=O16,U16,IF(N5=O17,U17,IF(N5=O18,U18,IF(N5=O19,U19,IF(N5=O20,U20,IF(N5=O21,U21,IF(N5=O22,U22,IF(N5=O23,U23,IF(N5=O24,U24,IF(N5=O25,U25,IF(N5=O26,U26,IF(N5=O27,U27,IF(N5=O28,U28,IF(N5=O29,U29,IF(N5=O30,U30,IF(N5=O31,U31,IF(N5=O32,U32,IF(N5=O33,U33,IF(N5=O34,U34,IF(N5=O35,U35,IF(N5=O36,U36,IF(N5=O37,U37,IF(N5=O38,U38,IF(N5=O39,U39,IF(N5=O40,U40,IF(N5=O41,U41,IF(N5=O42,U42,IF(N5=O43,U43,IF(N5=O44,U44,IF(N5=O45,U45,IF(N5=O46,U46,IF(N5=O47,U47,IF(N5=O48,U48,IF(N5=O49,U49,IF(N5=O50,U50,0)))))))))))))))))))))))))))))))))))))))))))))))</f>
        <v>0</v>
      </c>
      <c r="DK1" s="140" t="s">
        <v>75</v>
      </c>
      <c r="DL1" s="140"/>
      <c r="DM1" s="140"/>
    </row>
    <row r="2" spans="2:131" ht="15" customHeight="1">
      <c r="B2" s="1786" t="s">
        <v>199</v>
      </c>
      <c r="C2" s="1787"/>
      <c r="D2" s="1787"/>
      <c r="E2" s="1787"/>
      <c r="F2" s="1787"/>
      <c r="G2" s="1787"/>
      <c r="H2" s="1787"/>
      <c r="I2" s="1787"/>
      <c r="J2" s="1788"/>
      <c r="K2" s="227"/>
      <c r="L2" s="227"/>
      <c r="M2" s="227"/>
      <c r="O2" s="1781" t="s">
        <v>66</v>
      </c>
      <c r="P2" s="1782"/>
      <c r="Q2" s="115">
        <f>B4</f>
        <v>0</v>
      </c>
      <c r="R2" s="139" t="s">
        <v>73</v>
      </c>
      <c r="S2" s="115">
        <f>LARGE(U4:U147,1)</f>
        <v>0</v>
      </c>
      <c r="T2" s="139" t="s">
        <v>71</v>
      </c>
      <c r="U2" s="87">
        <f>COUNTIF(O4:O145,"&gt;0")</f>
        <v>0</v>
      </c>
      <c r="V2" s="99"/>
      <c r="W2" s="1781" t="s">
        <v>66</v>
      </c>
      <c r="X2" s="1782"/>
      <c r="Y2" s="115">
        <f>B5</f>
        <v>0</v>
      </c>
      <c r="Z2" s="139" t="s">
        <v>73</v>
      </c>
      <c r="AA2" s="115">
        <f>LARGE(AC4:AC147,1)</f>
        <v>0</v>
      </c>
      <c r="AB2" s="139" t="s">
        <v>71</v>
      </c>
      <c r="AC2" s="87">
        <f>COUNTIF(W4:W145,"&gt;0")</f>
        <v>0</v>
      </c>
      <c r="AD2" s="4"/>
      <c r="AE2" s="1781" t="s">
        <v>66</v>
      </c>
      <c r="AF2" s="1782"/>
      <c r="AG2" s="115">
        <f>B6</f>
        <v>0</v>
      </c>
      <c r="AH2" s="139" t="s">
        <v>73</v>
      </c>
      <c r="AI2" s="115">
        <f>LARGE(AK4:AK147,1)</f>
        <v>0</v>
      </c>
      <c r="AJ2" s="139" t="s">
        <v>71</v>
      </c>
      <c r="AK2" s="87">
        <f>COUNTIF(AE4:AE145,"&gt;0")</f>
        <v>0</v>
      </c>
      <c r="AM2" s="1781" t="s">
        <v>66</v>
      </c>
      <c r="AN2" s="1782"/>
      <c r="AO2" s="115">
        <f>B7</f>
        <v>0</v>
      </c>
      <c r="AP2" s="139" t="s">
        <v>73</v>
      </c>
      <c r="AQ2" s="115">
        <f>LARGE(AS4:AS147,1)</f>
        <v>0</v>
      </c>
      <c r="AR2" s="139" t="s">
        <v>71</v>
      </c>
      <c r="AS2" s="87">
        <f>COUNTIF(AM4:AM145,"&gt;0")</f>
        <v>0</v>
      </c>
      <c r="AU2" s="1781" t="s">
        <v>66</v>
      </c>
      <c r="AV2" s="1782"/>
      <c r="AW2" s="115">
        <f>B8</f>
        <v>0</v>
      </c>
      <c r="AX2" s="139" t="s">
        <v>73</v>
      </c>
      <c r="AY2" s="115">
        <f>LARGE(BA4:BA147,1)</f>
        <v>0</v>
      </c>
      <c r="AZ2" s="139" t="s">
        <v>71</v>
      </c>
      <c r="BA2" s="87">
        <f>COUNTIF(AU4:AU145,"&gt;0")</f>
        <v>0</v>
      </c>
      <c r="BC2" s="1781" t="s">
        <v>66</v>
      </c>
      <c r="BD2" s="1782"/>
      <c r="BE2" s="115">
        <f>B9</f>
        <v>0</v>
      </c>
      <c r="BF2" s="139" t="s">
        <v>73</v>
      </c>
      <c r="BG2" s="115">
        <f>LARGE(BI4:BI147,1)</f>
        <v>0</v>
      </c>
      <c r="BH2" s="139" t="s">
        <v>71</v>
      </c>
      <c r="BI2" s="87">
        <f>COUNTIF(BC4:BC145,"&gt;0")</f>
        <v>0</v>
      </c>
      <c r="BK2" s="1781" t="s">
        <v>66</v>
      </c>
      <c r="BL2" s="1782"/>
      <c r="BM2" s="115">
        <f>B10</f>
        <v>0</v>
      </c>
      <c r="BN2" s="139" t="s">
        <v>73</v>
      </c>
      <c r="BO2" s="115">
        <f>LARGE(BQ4:BQ147,1)</f>
        <v>0</v>
      </c>
      <c r="BP2" s="139" t="s">
        <v>71</v>
      </c>
      <c r="BQ2" s="87">
        <f>COUNTIF(BK4:BK145,"&gt;0")</f>
        <v>0</v>
      </c>
      <c r="BS2" s="1781" t="s">
        <v>66</v>
      </c>
      <c r="BT2" s="1782"/>
      <c r="BU2" s="115">
        <f>B11</f>
        <v>0</v>
      </c>
      <c r="BV2" s="139" t="s">
        <v>73</v>
      </c>
      <c r="BW2" s="115">
        <f>LARGE(BY4:BY147,1)</f>
        <v>0</v>
      </c>
      <c r="BX2" s="139" t="s">
        <v>71</v>
      </c>
      <c r="BY2" s="87">
        <f>COUNTIF(BS4:BS145,"&gt;0")</f>
        <v>0</v>
      </c>
      <c r="CA2" s="1781" t="s">
        <v>66</v>
      </c>
      <c r="CB2" s="1782"/>
      <c r="CC2" s="115">
        <f>B12</f>
        <v>0</v>
      </c>
      <c r="CD2" s="139" t="s">
        <v>73</v>
      </c>
      <c r="CE2" s="115">
        <f>LARGE(CG4:CG147,1)</f>
        <v>0</v>
      </c>
      <c r="CF2" s="139" t="s">
        <v>71</v>
      </c>
      <c r="CG2" s="87">
        <f>COUNTIF(CA4:CA145,"&gt;0")</f>
        <v>0</v>
      </c>
      <c r="CI2" s="1781" t="s">
        <v>66</v>
      </c>
      <c r="CJ2" s="1782"/>
      <c r="CK2" s="115">
        <f>B13</f>
        <v>0</v>
      </c>
      <c r="CL2" s="139" t="s">
        <v>73</v>
      </c>
      <c r="CM2" s="115">
        <f>LARGE(CO4:CO147,1)</f>
        <v>0</v>
      </c>
      <c r="CN2" s="139" t="s">
        <v>71</v>
      </c>
      <c r="CO2" s="87">
        <f>COUNTIF(CI4:CI145,"&gt;0")</f>
        <v>0</v>
      </c>
      <c r="CQ2" s="1781" t="s">
        <v>66</v>
      </c>
      <c r="CR2" s="1782"/>
      <c r="CS2" s="115" t="str">
        <f>B15</f>
        <v>New</v>
      </c>
      <c r="CT2" s="139" t="s">
        <v>73</v>
      </c>
      <c r="CU2" s="115">
        <f>LARGE(CW4:CW147,1)</f>
        <v>212459.5845553689</v>
      </c>
      <c r="CV2" s="139" t="s">
        <v>71</v>
      </c>
      <c r="CW2" s="87">
        <f>COUNTIF(CQ4:CQ145,"&gt;0")</f>
        <v>45</v>
      </c>
      <c r="CZ2" s="1390" t="s">
        <v>15</v>
      </c>
      <c r="DA2" s="1390" t="s">
        <v>76</v>
      </c>
      <c r="DB2" s="1390" t="s">
        <v>77</v>
      </c>
      <c r="DC2" s="1390" t="s">
        <v>78</v>
      </c>
      <c r="DD2" s="1390" t="s">
        <v>79</v>
      </c>
      <c r="DE2" s="1390" t="s">
        <v>80</v>
      </c>
      <c r="DF2" s="1390" t="s">
        <v>81</v>
      </c>
      <c r="DG2" s="1390" t="s">
        <v>82</v>
      </c>
      <c r="DH2" s="1390" t="s">
        <v>83</v>
      </c>
      <c r="DI2" s="1390" t="s">
        <v>84</v>
      </c>
      <c r="DJ2" s="1390" t="s">
        <v>85</v>
      </c>
      <c r="DK2" s="1390" t="s">
        <v>86</v>
      </c>
      <c r="DL2" s="1390" t="s">
        <v>87</v>
      </c>
      <c r="DM2" s="1778" t="s">
        <v>88</v>
      </c>
      <c r="DN2" s="1390" t="s">
        <v>15</v>
      </c>
      <c r="DO2" s="1392" t="s">
        <v>89</v>
      </c>
      <c r="DP2" s="1771"/>
      <c r="DQ2" s="1771"/>
      <c r="DR2" s="1771"/>
      <c r="DS2" s="1393"/>
    </row>
    <row r="3" spans="2:131" ht="45">
      <c r="B3" s="243" t="s">
        <v>189</v>
      </c>
      <c r="C3" s="129" t="s">
        <v>190</v>
      </c>
      <c r="D3" s="141" t="s">
        <v>191</v>
      </c>
      <c r="E3" s="129" t="s">
        <v>157</v>
      </c>
      <c r="F3" s="129" t="s">
        <v>192</v>
      </c>
      <c r="G3" s="129" t="s">
        <v>193</v>
      </c>
      <c r="H3" s="129" t="s">
        <v>194</v>
      </c>
      <c r="I3" s="129" t="s">
        <v>195</v>
      </c>
      <c r="J3" s="129" t="s">
        <v>196</v>
      </c>
      <c r="K3" s="228"/>
      <c r="L3" s="228"/>
      <c r="M3" s="228"/>
      <c r="O3" s="76" t="s">
        <v>2</v>
      </c>
      <c r="P3" s="75" t="s">
        <v>15</v>
      </c>
      <c r="Q3" s="75" t="s">
        <v>25</v>
      </c>
      <c r="R3" s="75" t="s">
        <v>26</v>
      </c>
      <c r="S3" s="75" t="s">
        <v>23</v>
      </c>
      <c r="T3" s="75" t="s">
        <v>24</v>
      </c>
      <c r="U3" s="75" t="s">
        <v>27</v>
      </c>
      <c r="V3" s="100"/>
      <c r="W3" s="76" t="s">
        <v>2</v>
      </c>
      <c r="X3" s="75" t="s">
        <v>15</v>
      </c>
      <c r="Y3" s="75" t="s">
        <v>25</v>
      </c>
      <c r="Z3" s="75" t="s">
        <v>26</v>
      </c>
      <c r="AA3" s="75" t="s">
        <v>23</v>
      </c>
      <c r="AB3" s="75" t="s">
        <v>24</v>
      </c>
      <c r="AC3" s="75" t="s">
        <v>27</v>
      </c>
      <c r="AD3" s="4"/>
      <c r="AE3" s="76" t="s">
        <v>2</v>
      </c>
      <c r="AF3" s="75" t="s">
        <v>15</v>
      </c>
      <c r="AG3" s="75" t="s">
        <v>25</v>
      </c>
      <c r="AH3" s="75" t="s">
        <v>26</v>
      </c>
      <c r="AI3" s="75" t="s">
        <v>23</v>
      </c>
      <c r="AJ3" s="75" t="s">
        <v>24</v>
      </c>
      <c r="AK3" s="75" t="s">
        <v>27</v>
      </c>
      <c r="AM3" s="76" t="s">
        <v>2</v>
      </c>
      <c r="AN3" s="75" t="s">
        <v>15</v>
      </c>
      <c r="AO3" s="75" t="s">
        <v>25</v>
      </c>
      <c r="AP3" s="75" t="s">
        <v>26</v>
      </c>
      <c r="AQ3" s="75" t="s">
        <v>23</v>
      </c>
      <c r="AR3" s="75" t="s">
        <v>24</v>
      </c>
      <c r="AS3" s="75" t="s">
        <v>27</v>
      </c>
      <c r="AU3" s="76" t="s">
        <v>2</v>
      </c>
      <c r="AV3" s="75" t="s">
        <v>15</v>
      </c>
      <c r="AW3" s="75" t="s">
        <v>25</v>
      </c>
      <c r="AX3" s="75" t="s">
        <v>26</v>
      </c>
      <c r="AY3" s="75" t="s">
        <v>23</v>
      </c>
      <c r="AZ3" s="75" t="s">
        <v>24</v>
      </c>
      <c r="BA3" s="75" t="s">
        <v>27</v>
      </c>
      <c r="BC3" s="76" t="s">
        <v>2</v>
      </c>
      <c r="BD3" s="75" t="s">
        <v>15</v>
      </c>
      <c r="BE3" s="75" t="s">
        <v>25</v>
      </c>
      <c r="BF3" s="75" t="s">
        <v>26</v>
      </c>
      <c r="BG3" s="75" t="s">
        <v>23</v>
      </c>
      <c r="BH3" s="75" t="s">
        <v>24</v>
      </c>
      <c r="BI3" s="75" t="s">
        <v>27</v>
      </c>
      <c r="BK3" s="76" t="s">
        <v>2</v>
      </c>
      <c r="BL3" s="75" t="s">
        <v>15</v>
      </c>
      <c r="BM3" s="75" t="s">
        <v>25</v>
      </c>
      <c r="BN3" s="75" t="s">
        <v>26</v>
      </c>
      <c r="BO3" s="75" t="s">
        <v>23</v>
      </c>
      <c r="BP3" s="75" t="s">
        <v>24</v>
      </c>
      <c r="BQ3" s="75" t="s">
        <v>27</v>
      </c>
      <c r="BS3" s="76" t="s">
        <v>2</v>
      </c>
      <c r="BT3" s="75" t="s">
        <v>15</v>
      </c>
      <c r="BU3" s="75" t="s">
        <v>25</v>
      </c>
      <c r="BV3" s="75" t="s">
        <v>26</v>
      </c>
      <c r="BW3" s="75" t="s">
        <v>23</v>
      </c>
      <c r="BX3" s="75" t="s">
        <v>24</v>
      </c>
      <c r="BY3" s="75" t="s">
        <v>27</v>
      </c>
      <c r="CA3" s="76" t="s">
        <v>2</v>
      </c>
      <c r="CB3" s="75" t="s">
        <v>15</v>
      </c>
      <c r="CC3" s="75" t="s">
        <v>25</v>
      </c>
      <c r="CD3" s="75" t="s">
        <v>26</v>
      </c>
      <c r="CE3" s="75" t="s">
        <v>23</v>
      </c>
      <c r="CF3" s="75" t="s">
        <v>24</v>
      </c>
      <c r="CG3" s="75" t="s">
        <v>27</v>
      </c>
      <c r="CI3" s="76" t="s">
        <v>2</v>
      </c>
      <c r="CJ3" s="75" t="s">
        <v>15</v>
      </c>
      <c r="CK3" s="75" t="s">
        <v>25</v>
      </c>
      <c r="CL3" s="75" t="s">
        <v>26</v>
      </c>
      <c r="CM3" s="75" t="s">
        <v>23</v>
      </c>
      <c r="CN3" s="75" t="s">
        <v>24</v>
      </c>
      <c r="CO3" s="75" t="s">
        <v>27</v>
      </c>
      <c r="CQ3" s="76" t="s">
        <v>2</v>
      </c>
      <c r="CR3" s="75" t="s">
        <v>15</v>
      </c>
      <c r="CS3" s="75" t="s">
        <v>25</v>
      </c>
      <c r="CT3" s="75" t="s">
        <v>26</v>
      </c>
      <c r="CU3" s="75" t="s">
        <v>23</v>
      </c>
      <c r="CV3" s="75" t="s">
        <v>24</v>
      </c>
      <c r="CW3" s="75" t="s">
        <v>27</v>
      </c>
      <c r="CZ3" s="1770"/>
      <c r="DA3" s="1770"/>
      <c r="DB3" s="1770"/>
      <c r="DC3" s="1770"/>
      <c r="DD3" s="1770"/>
      <c r="DE3" s="1770"/>
      <c r="DF3" s="1770"/>
      <c r="DG3" s="1770"/>
      <c r="DH3" s="1770"/>
      <c r="DI3" s="1770"/>
      <c r="DJ3" s="1770"/>
      <c r="DK3" s="1770"/>
      <c r="DL3" s="1770"/>
      <c r="DM3" s="1779"/>
      <c r="DN3" s="1770"/>
      <c r="DO3" s="20" t="s">
        <v>90</v>
      </c>
      <c r="DP3" s="1392" t="s">
        <v>91</v>
      </c>
      <c r="DQ3" s="1771"/>
      <c r="DR3" s="1393"/>
      <c r="DS3" s="1390" t="s">
        <v>27</v>
      </c>
    </row>
    <row r="4" spans="2:131">
      <c r="B4" s="130"/>
      <c r="C4" s="131">
        <f>S2</f>
        <v>0</v>
      </c>
      <c r="D4" s="132"/>
      <c r="E4" s="131">
        <f>VLOOKUP(D4,O4:U146,7,FALSE)</f>
        <v>0</v>
      </c>
      <c r="F4" s="131" t="e">
        <f>R147/U2</f>
        <v>#DIV/0!</v>
      </c>
      <c r="G4" s="131"/>
      <c r="H4" s="131"/>
      <c r="I4" s="133" t="e">
        <f>H4/E4</f>
        <v>#DIV/0!</v>
      </c>
      <c r="J4" s="133" t="e">
        <f t="shared" ref="J4:J16" si="0">(G4+H4)/E4</f>
        <v>#DIV/0!</v>
      </c>
      <c r="K4" s="229"/>
      <c r="L4" s="229"/>
      <c r="M4" s="229"/>
      <c r="O4" s="116">
        <f t="shared" ref="O4:O15" si="1">IF(AND(Q4&gt;0,O3&gt;=0),O3+1,0)</f>
        <v>0</v>
      </c>
      <c r="P4" s="77">
        <v>42005</v>
      </c>
      <c r="Q4" s="88"/>
      <c r="R4" s="89"/>
      <c r="S4" s="88"/>
      <c r="T4" s="89"/>
      <c r="U4" s="90"/>
      <c r="V4" s="85"/>
      <c r="W4" s="116">
        <f>IF(AND(Y4&gt;0,W3&gt;=0),W3+1,0)</f>
        <v>0</v>
      </c>
      <c r="X4" s="77">
        <v>42005</v>
      </c>
      <c r="Y4" s="88"/>
      <c r="Z4" s="89"/>
      <c r="AA4" s="88"/>
      <c r="AB4" s="89"/>
      <c r="AC4" s="90"/>
      <c r="AE4" s="116">
        <f>IF(AND(AG4&gt;0,AE3&gt;=0),AE3+1,0)</f>
        <v>0</v>
      </c>
      <c r="AF4" s="77">
        <v>42005</v>
      </c>
      <c r="AG4" s="88"/>
      <c r="AH4" s="89"/>
      <c r="AI4" s="88"/>
      <c r="AJ4" s="89"/>
      <c r="AK4" s="90"/>
      <c r="AM4" s="116">
        <f>IF(AND(AO4&gt;0,AM3&gt;=0),AM3+1,0)</f>
        <v>0</v>
      </c>
      <c r="AN4" s="77">
        <v>42005</v>
      </c>
      <c r="AO4" s="88"/>
      <c r="AP4" s="89"/>
      <c r="AQ4" s="88"/>
      <c r="AR4" s="89"/>
      <c r="AS4" s="90"/>
      <c r="AU4" s="116">
        <f>IF(AND(AW4&gt;0,AU3&gt;=0),AU3+1,0)</f>
        <v>0</v>
      </c>
      <c r="AV4" s="77">
        <v>42005</v>
      </c>
      <c r="AW4" s="88"/>
      <c r="AX4" s="89"/>
      <c r="AY4" s="88"/>
      <c r="AZ4" s="89"/>
      <c r="BA4" s="90"/>
      <c r="BC4" s="116">
        <f>IF(AND(BE4&gt;0,BC3&gt;=0),BC3+1,0)</f>
        <v>0</v>
      </c>
      <c r="BD4" s="77">
        <v>42005</v>
      </c>
      <c r="BE4" s="88"/>
      <c r="BF4" s="89"/>
      <c r="BG4" s="88"/>
      <c r="BH4" s="89"/>
      <c r="BI4" s="90"/>
      <c r="BK4" s="116">
        <f>IF(AND(BM4&gt;0,BK3&gt;=0),BK3+1,0)</f>
        <v>0</v>
      </c>
      <c r="BL4" s="77">
        <v>42005</v>
      </c>
      <c r="BM4" s="88"/>
      <c r="BN4" s="89"/>
      <c r="BO4" s="88"/>
      <c r="BP4" s="89"/>
      <c r="BQ4" s="90"/>
      <c r="BS4" s="116">
        <f>IF(AND(BU4&gt;0,BS3&gt;=0),BS3+1,0)</f>
        <v>0</v>
      </c>
      <c r="BT4" s="77">
        <v>42005</v>
      </c>
      <c r="BU4" s="88"/>
      <c r="BV4" s="89"/>
      <c r="BW4" s="88"/>
      <c r="BX4" s="89"/>
      <c r="BY4" s="90"/>
      <c r="CA4" s="116">
        <f>IF(AND(CC4&gt;0,CA3&gt;=0),CA3+1,0)</f>
        <v>0</v>
      </c>
      <c r="CB4" s="77">
        <v>42005</v>
      </c>
      <c r="CC4" s="88"/>
      <c r="CD4" s="89"/>
      <c r="CE4" s="88"/>
      <c r="CF4" s="89"/>
      <c r="CG4" s="90"/>
      <c r="CI4" s="116">
        <f>IF(AND(CK4&gt;0,CI3&gt;=0),CI3+1,0)</f>
        <v>0</v>
      </c>
      <c r="CJ4" s="77">
        <v>42005</v>
      </c>
      <c r="CK4" s="88"/>
      <c r="CL4" s="89"/>
      <c r="CM4" s="88"/>
      <c r="CN4" s="89"/>
      <c r="CO4" s="90"/>
      <c r="CQ4" s="116">
        <f>IF(AND(CS4&gt;0,CQ3&gt;=0),CQ3+1,0)</f>
        <v>0</v>
      </c>
      <c r="CR4" s="77">
        <v>42005</v>
      </c>
      <c r="CS4" s="88"/>
      <c r="CT4" s="89"/>
      <c r="CU4" s="88"/>
      <c r="CV4" s="89"/>
      <c r="CW4" s="90"/>
      <c r="CZ4" s="1391"/>
      <c r="DA4" s="1391"/>
      <c r="DB4" s="1391"/>
      <c r="DC4" s="1391"/>
      <c r="DD4" s="1391"/>
      <c r="DE4" s="1391"/>
      <c r="DF4" s="1391"/>
      <c r="DG4" s="1391"/>
      <c r="DH4" s="1391"/>
      <c r="DI4" s="1391"/>
      <c r="DJ4" s="1391"/>
      <c r="DK4" s="1391"/>
      <c r="DL4" s="1391"/>
      <c r="DM4" s="1780"/>
      <c r="DN4" s="1391"/>
      <c r="DO4" s="76" t="s">
        <v>92</v>
      </c>
      <c r="DP4" s="76" t="s">
        <v>1</v>
      </c>
      <c r="DQ4" s="76" t="s">
        <v>93</v>
      </c>
      <c r="DR4" s="76" t="s">
        <v>5</v>
      </c>
      <c r="DS4" s="1391"/>
    </row>
    <row r="5" spans="2:131">
      <c r="B5" s="130"/>
      <c r="C5" s="131">
        <f>AA2</f>
        <v>0</v>
      </c>
      <c r="D5" s="132"/>
      <c r="E5" s="131">
        <f>VLOOKUP(D5,W4:AC146,7,FALSE)</f>
        <v>0</v>
      </c>
      <c r="F5" s="131" t="e">
        <f>Z147/AC2</f>
        <v>#DIV/0!</v>
      </c>
      <c r="G5" s="131"/>
      <c r="H5" s="131"/>
      <c r="I5" s="133" t="e">
        <f t="shared" ref="I5:I16" si="2">H5/E5</f>
        <v>#DIV/0!</v>
      </c>
      <c r="J5" s="133" t="e">
        <f t="shared" si="0"/>
        <v>#DIV/0!</v>
      </c>
      <c r="K5" s="229"/>
      <c r="L5" s="229"/>
      <c r="M5" s="229"/>
      <c r="N5">
        <v>11</v>
      </c>
      <c r="O5" s="116">
        <f t="shared" si="1"/>
        <v>0</v>
      </c>
      <c r="P5" s="78">
        <v>42036</v>
      </c>
      <c r="Q5" s="91"/>
      <c r="R5" s="92"/>
      <c r="S5" s="91"/>
      <c r="T5" s="92"/>
      <c r="U5" s="92"/>
      <c r="V5" s="85"/>
      <c r="W5" s="116">
        <f t="shared" ref="W5:W15" si="3">IF(AND(Y5&gt;0,W4&gt;=0),W4+1,0)</f>
        <v>0</v>
      </c>
      <c r="X5" s="78">
        <v>42036</v>
      </c>
      <c r="Y5" s="91"/>
      <c r="Z5" s="92"/>
      <c r="AA5" s="91"/>
      <c r="AB5" s="92"/>
      <c r="AC5" s="92"/>
      <c r="AE5" s="116">
        <f t="shared" ref="AE5:AE15" si="4">IF(AND(AG5&gt;0,AE4&gt;=0),AE4+1,0)</f>
        <v>0</v>
      </c>
      <c r="AF5" s="78">
        <v>42036</v>
      </c>
      <c r="AG5" s="91"/>
      <c r="AH5" s="92"/>
      <c r="AI5" s="91"/>
      <c r="AJ5" s="92"/>
      <c r="AK5" s="92"/>
      <c r="AM5" s="116">
        <f t="shared" ref="AM5:AM15" si="5">IF(AND(AO5&gt;0,AM4&gt;=0),AM4+1,0)</f>
        <v>0</v>
      </c>
      <c r="AN5" s="78">
        <v>42036</v>
      </c>
      <c r="AO5" s="91"/>
      <c r="AP5" s="92"/>
      <c r="AQ5" s="91"/>
      <c r="AR5" s="92"/>
      <c r="AS5" s="92"/>
      <c r="AU5" s="116">
        <f t="shared" ref="AU5:AU15" si="6">IF(AND(AW5&gt;0,AU4&gt;=0),AU4+1,0)</f>
        <v>0</v>
      </c>
      <c r="AV5" s="78">
        <v>42036</v>
      </c>
      <c r="AW5" s="91"/>
      <c r="AX5" s="92"/>
      <c r="AY5" s="91"/>
      <c r="AZ5" s="92"/>
      <c r="BA5" s="92"/>
      <c r="BC5" s="116">
        <f t="shared" ref="BC5:BC15" si="7">IF(AND(BE5&gt;0,BC4&gt;=0),BC4+1,0)</f>
        <v>0</v>
      </c>
      <c r="BD5" s="78">
        <v>42036</v>
      </c>
      <c r="BE5" s="91"/>
      <c r="BF5" s="92"/>
      <c r="BG5" s="91"/>
      <c r="BH5" s="92"/>
      <c r="BI5" s="92"/>
      <c r="BK5" s="116">
        <f t="shared" ref="BK5:BK15" si="8">IF(AND(BM5&gt;0,BK4&gt;=0),BK4+1,0)</f>
        <v>0</v>
      </c>
      <c r="BL5" s="78">
        <v>42036</v>
      </c>
      <c r="BM5" s="91"/>
      <c r="BN5" s="92"/>
      <c r="BO5" s="91"/>
      <c r="BP5" s="92"/>
      <c r="BQ5" s="92"/>
      <c r="BS5" s="116">
        <f t="shared" ref="BS5:BS15" si="9">IF(AND(BU5&gt;0,BS4&gt;=0),BS4+1,0)</f>
        <v>0</v>
      </c>
      <c r="BT5" s="78">
        <v>42036</v>
      </c>
      <c r="BU5" s="91"/>
      <c r="BV5" s="92"/>
      <c r="BW5" s="91"/>
      <c r="BX5" s="92"/>
      <c r="BY5" s="92"/>
      <c r="CA5" s="116">
        <f t="shared" ref="CA5:CA15" si="10">IF(AND(CC5&gt;0,CA4&gt;=0),CA4+1,0)</f>
        <v>0</v>
      </c>
      <c r="CB5" s="78">
        <v>42036</v>
      </c>
      <c r="CC5" s="91"/>
      <c r="CD5" s="92"/>
      <c r="CE5" s="91"/>
      <c r="CF5" s="92"/>
      <c r="CG5" s="92"/>
      <c r="CI5" s="116">
        <f t="shared" ref="CI5:CI15" si="11">IF(AND(CK5&gt;0,CI4&gt;=0),CI4+1,0)</f>
        <v>0</v>
      </c>
      <c r="CJ5" s="78">
        <v>42036</v>
      </c>
      <c r="CK5" s="91"/>
      <c r="CL5" s="92"/>
      <c r="CM5" s="91"/>
      <c r="CN5" s="92"/>
      <c r="CO5" s="92"/>
      <c r="CQ5" s="116">
        <f t="shared" ref="CQ5:CQ15" si="12">IF(AND(CS5&gt;0,CQ4&gt;=0),CQ4+1,0)</f>
        <v>0</v>
      </c>
      <c r="CR5" s="78">
        <v>42036</v>
      </c>
      <c r="CS5" s="91"/>
      <c r="CT5" s="92"/>
      <c r="CU5" s="91"/>
      <c r="CV5" s="92"/>
      <c r="CW5" s="92"/>
      <c r="CZ5" s="78">
        <v>42005</v>
      </c>
      <c r="DA5" s="142">
        <f>U4*(1+'[6]Assets to be Leased'!$B$9)</f>
        <v>0</v>
      </c>
      <c r="DB5" s="143">
        <f>AC4*(1+'[6]Assets to be Leased'!$B$9)</f>
        <v>0</v>
      </c>
      <c r="DC5" s="143">
        <f>AK4*(1+'[6]Assets to be Leased'!$B$9)</f>
        <v>0</v>
      </c>
      <c r="DD5" s="144">
        <f>AS4*(1+'[6]Assets to be Leased'!$B$9)</f>
        <v>0</v>
      </c>
      <c r="DE5" s="144">
        <f>BA4*(1+'[6]Assets to be Leased'!$B$9)</f>
        <v>0</v>
      </c>
      <c r="DF5" s="144">
        <f>BI4*(1+'[6]Assets to be Leased'!$B$9)</f>
        <v>0</v>
      </c>
      <c r="DG5" s="144">
        <f>BQ4*(1+'[6]Assets to be Leased'!$B$9)</f>
        <v>0</v>
      </c>
      <c r="DH5" s="144">
        <f>BY4*(1+'[6]Assets to be Leased'!$B$9)</f>
        <v>0</v>
      </c>
      <c r="DI5" s="144">
        <f>CG4*(1+'[6]Assets to be Leased'!$B$9)</f>
        <v>0</v>
      </c>
      <c r="DJ5" s="144">
        <f>CO4*(1+'[6]Assets to be Leased'!$B$9)</f>
        <v>0</v>
      </c>
      <c r="DK5" s="145"/>
      <c r="DL5" s="145"/>
      <c r="DM5" s="145"/>
      <c r="DN5" s="78">
        <v>42005</v>
      </c>
      <c r="DO5" s="145"/>
      <c r="DP5" s="146"/>
      <c r="DQ5" s="146"/>
      <c r="DR5" s="146"/>
      <c r="DS5" s="147"/>
    </row>
    <row r="6" spans="2:131">
      <c r="B6" s="130"/>
      <c r="C6" s="131">
        <f>AI2</f>
        <v>0</v>
      </c>
      <c r="D6" s="132"/>
      <c r="E6" s="131">
        <f>VLOOKUP(D6,AE4:AK146,7,FALSE)</f>
        <v>0</v>
      </c>
      <c r="F6" s="131" t="e">
        <f>AH147/AK2</f>
        <v>#DIV/0!</v>
      </c>
      <c r="G6" s="131"/>
      <c r="H6" s="131"/>
      <c r="I6" s="133" t="e">
        <f t="shared" si="2"/>
        <v>#DIV/0!</v>
      </c>
      <c r="J6" s="133" t="e">
        <f t="shared" si="0"/>
        <v>#DIV/0!</v>
      </c>
      <c r="K6" s="229"/>
      <c r="L6" s="229"/>
      <c r="M6" s="229"/>
      <c r="N6">
        <f>U2-N5</f>
        <v>-11</v>
      </c>
      <c r="O6" s="116">
        <f t="shared" si="1"/>
        <v>0</v>
      </c>
      <c r="P6" s="78">
        <v>42064</v>
      </c>
      <c r="Q6" s="91"/>
      <c r="R6" s="92"/>
      <c r="S6" s="91"/>
      <c r="T6" s="92"/>
      <c r="U6" s="92"/>
      <c r="V6" s="85"/>
      <c r="W6" s="116">
        <f t="shared" si="3"/>
        <v>0</v>
      </c>
      <c r="X6" s="78">
        <v>42064</v>
      </c>
      <c r="Y6" s="91"/>
      <c r="Z6" s="92"/>
      <c r="AA6" s="91"/>
      <c r="AB6" s="92"/>
      <c r="AC6" s="92"/>
      <c r="AE6" s="116">
        <f t="shared" si="4"/>
        <v>0</v>
      </c>
      <c r="AF6" s="78">
        <v>42064</v>
      </c>
      <c r="AG6" s="91"/>
      <c r="AH6" s="92"/>
      <c r="AI6" s="91"/>
      <c r="AJ6" s="92"/>
      <c r="AK6" s="92"/>
      <c r="AM6" s="116">
        <f t="shared" si="5"/>
        <v>0</v>
      </c>
      <c r="AN6" s="78">
        <v>42064</v>
      </c>
      <c r="AO6" s="91"/>
      <c r="AP6" s="92"/>
      <c r="AQ6" s="91"/>
      <c r="AR6" s="92"/>
      <c r="AS6" s="92"/>
      <c r="AU6" s="116">
        <f t="shared" si="6"/>
        <v>0</v>
      </c>
      <c r="AV6" s="78">
        <v>42064</v>
      </c>
      <c r="AW6" s="91"/>
      <c r="AX6" s="92"/>
      <c r="AY6" s="91"/>
      <c r="AZ6" s="92"/>
      <c r="BA6" s="92"/>
      <c r="BC6" s="116">
        <f t="shared" si="7"/>
        <v>0</v>
      </c>
      <c r="BD6" s="78">
        <v>42064</v>
      </c>
      <c r="BE6" s="91"/>
      <c r="BF6" s="92"/>
      <c r="BG6" s="91"/>
      <c r="BH6" s="92"/>
      <c r="BI6" s="92"/>
      <c r="BK6" s="116">
        <f t="shared" si="8"/>
        <v>0</v>
      </c>
      <c r="BL6" s="78">
        <v>42064</v>
      </c>
      <c r="BM6" s="91"/>
      <c r="BN6" s="92"/>
      <c r="BO6" s="91"/>
      <c r="BP6" s="92"/>
      <c r="BQ6" s="92"/>
      <c r="BS6" s="116">
        <f t="shared" si="9"/>
        <v>0</v>
      </c>
      <c r="BT6" s="78">
        <v>42064</v>
      </c>
      <c r="BU6" s="91"/>
      <c r="BV6" s="92"/>
      <c r="BW6" s="91"/>
      <c r="BX6" s="92"/>
      <c r="BY6" s="92"/>
      <c r="CA6" s="116">
        <f t="shared" si="10"/>
        <v>0</v>
      </c>
      <c r="CB6" s="78">
        <v>42064</v>
      </c>
      <c r="CC6" s="91"/>
      <c r="CD6" s="92"/>
      <c r="CE6" s="91"/>
      <c r="CF6" s="92"/>
      <c r="CG6" s="92"/>
      <c r="CI6" s="116">
        <f t="shared" si="11"/>
        <v>0</v>
      </c>
      <c r="CJ6" s="78">
        <v>42064</v>
      </c>
      <c r="CK6" s="91"/>
      <c r="CL6" s="92"/>
      <c r="CM6" s="91"/>
      <c r="CN6" s="92"/>
      <c r="CO6" s="92"/>
      <c r="CQ6" s="116">
        <f t="shared" si="12"/>
        <v>0</v>
      </c>
      <c r="CR6" s="78">
        <v>42064</v>
      </c>
      <c r="CS6" s="91"/>
      <c r="CT6" s="92"/>
      <c r="CU6" s="91"/>
      <c r="CV6" s="92"/>
      <c r="CW6" s="92"/>
      <c r="CZ6" s="78">
        <v>42036</v>
      </c>
      <c r="DA6" s="142">
        <f>IF(DO5&gt;=DA5,0,U5*(1+'[6]Assets to be Leased'!$B$9))</f>
        <v>0</v>
      </c>
      <c r="DB6" s="143">
        <f>IF(DO5&gt;=DB5,0,AC5*(1+'[6]Assets to be Leased'!$B$9))</f>
        <v>0</v>
      </c>
      <c r="DC6" s="143">
        <f>IF(DO5&gt;=DC5,0,AK5*(1+'[6]Assets to be Leased'!$B$9))</f>
        <v>0</v>
      </c>
      <c r="DD6" s="144">
        <f>IF(DO5&gt;=DD5,0,AS5*(1+'[6]Assets to be Leased'!$B$9))</f>
        <v>0</v>
      </c>
      <c r="DE6" s="144">
        <f>IF(DO5&gt;=DE5,0,BA5*(1+'[6]Assets to be Leased'!$B$9))</f>
        <v>0</v>
      </c>
      <c r="DF6" s="144">
        <f>IF(DO5&gt;=DF5,0,BI5*(1+'[6]Assets to be Leased'!$B$9))</f>
        <v>0</v>
      </c>
      <c r="DG6" s="144">
        <f>IF(DO5&gt;=DG5,0,BQ5*(1+'[6]Assets to be Leased'!$B$9))</f>
        <v>0</v>
      </c>
      <c r="DH6" s="144">
        <f>IF(DO5&gt;=DH5,0,BY5*(1+'[6]Assets to be Leased'!$B$9))</f>
        <v>0</v>
      </c>
      <c r="DI6" s="144">
        <f>IF(DO5&gt;=DI5,0,CG5*(1+'[6]Assets to be Leased'!$B$9))</f>
        <v>0</v>
      </c>
      <c r="DJ6" s="144">
        <f>IF(DO5&gt;=DJ5,0,CO5*(1+'[6]Assets to be Leased'!$B$9))</f>
        <v>0</v>
      </c>
      <c r="DK6" s="148"/>
      <c r="DL6" s="148"/>
      <c r="DM6" s="148"/>
      <c r="DN6" s="78">
        <v>42036</v>
      </c>
      <c r="DO6" s="148"/>
      <c r="DP6" s="91"/>
      <c r="DQ6" s="91"/>
      <c r="DR6" s="91"/>
      <c r="DS6" s="149"/>
    </row>
    <row r="7" spans="2:131" ht="15" customHeight="1">
      <c r="B7" s="130"/>
      <c r="C7" s="131">
        <f>AQ2</f>
        <v>0</v>
      </c>
      <c r="D7" s="132"/>
      <c r="E7" s="131">
        <f>VLOOKUP(D7,AM4:AS146,7,FALSE)</f>
        <v>0</v>
      </c>
      <c r="F7" s="134" t="e">
        <f>AP147/AS2</f>
        <v>#DIV/0!</v>
      </c>
      <c r="G7" s="131"/>
      <c r="H7" s="131"/>
      <c r="I7" s="133" t="e">
        <f t="shared" si="2"/>
        <v>#DIV/0!</v>
      </c>
      <c r="J7" s="133" t="e">
        <f t="shared" si="0"/>
        <v>#DIV/0!</v>
      </c>
      <c r="K7" s="229"/>
      <c r="L7" s="229"/>
      <c r="M7" s="229"/>
      <c r="O7" s="116">
        <f t="shared" si="1"/>
        <v>0</v>
      </c>
      <c r="P7" s="78">
        <v>42095</v>
      </c>
      <c r="Q7" s="91"/>
      <c r="R7" s="92"/>
      <c r="S7" s="91"/>
      <c r="T7" s="92"/>
      <c r="U7" s="92"/>
      <c r="V7" s="85"/>
      <c r="W7" s="116">
        <f t="shared" si="3"/>
        <v>0</v>
      </c>
      <c r="X7" s="78">
        <v>42095</v>
      </c>
      <c r="Y7" s="91"/>
      <c r="Z7" s="92"/>
      <c r="AA7" s="91"/>
      <c r="AB7" s="92"/>
      <c r="AC7" s="92"/>
      <c r="AE7" s="116">
        <f t="shared" si="4"/>
        <v>0</v>
      </c>
      <c r="AF7" s="78">
        <v>42095</v>
      </c>
      <c r="AG7" s="91"/>
      <c r="AH7" s="92"/>
      <c r="AI7" s="91"/>
      <c r="AJ7" s="92"/>
      <c r="AK7" s="92"/>
      <c r="AM7" s="116">
        <f t="shared" si="5"/>
        <v>0</v>
      </c>
      <c r="AN7" s="78">
        <v>42095</v>
      </c>
      <c r="AO7" s="91"/>
      <c r="AP7" s="92"/>
      <c r="AQ7" s="91"/>
      <c r="AR7" s="92"/>
      <c r="AS7" s="92"/>
      <c r="AU7" s="116">
        <f t="shared" si="6"/>
        <v>0</v>
      </c>
      <c r="AV7" s="78">
        <v>42095</v>
      </c>
      <c r="AW7" s="91"/>
      <c r="AX7" s="92"/>
      <c r="AY7" s="91"/>
      <c r="AZ7" s="92"/>
      <c r="BA7" s="92"/>
      <c r="BC7" s="116">
        <f t="shared" si="7"/>
        <v>0</v>
      </c>
      <c r="BD7" s="78">
        <v>42095</v>
      </c>
      <c r="BE7" s="91"/>
      <c r="BF7" s="92"/>
      <c r="BG7" s="91"/>
      <c r="BH7" s="92"/>
      <c r="BI7" s="92"/>
      <c r="BK7" s="116">
        <f t="shared" si="8"/>
        <v>0</v>
      </c>
      <c r="BL7" s="78">
        <v>42095</v>
      </c>
      <c r="BM7" s="91"/>
      <c r="BN7" s="92"/>
      <c r="BO7" s="91"/>
      <c r="BP7" s="92"/>
      <c r="BQ7" s="92"/>
      <c r="BS7" s="116">
        <f t="shared" si="9"/>
        <v>0</v>
      </c>
      <c r="BT7" s="78">
        <v>42095</v>
      </c>
      <c r="BU7" s="91"/>
      <c r="BV7" s="92"/>
      <c r="BW7" s="91"/>
      <c r="BX7" s="92"/>
      <c r="BY7" s="92"/>
      <c r="CA7" s="116">
        <f t="shared" si="10"/>
        <v>0</v>
      </c>
      <c r="CB7" s="78">
        <v>42095</v>
      </c>
      <c r="CC7" s="91"/>
      <c r="CD7" s="92"/>
      <c r="CE7" s="91"/>
      <c r="CF7" s="92"/>
      <c r="CG7" s="92"/>
      <c r="CI7" s="116">
        <f t="shared" si="11"/>
        <v>0</v>
      </c>
      <c r="CJ7" s="78">
        <v>42095</v>
      </c>
      <c r="CK7" s="91"/>
      <c r="CL7" s="92"/>
      <c r="CM7" s="91"/>
      <c r="CN7" s="92"/>
      <c r="CO7" s="92"/>
      <c r="CQ7" s="116">
        <f t="shared" si="12"/>
        <v>0</v>
      </c>
      <c r="CR7" s="78">
        <v>42095</v>
      </c>
      <c r="CS7" s="91"/>
      <c r="CT7" s="92"/>
      <c r="CU7" s="91"/>
      <c r="CV7" s="92"/>
      <c r="CW7" s="92"/>
      <c r="CZ7" s="78">
        <v>42064</v>
      </c>
      <c r="DA7" s="142">
        <f>IF(DO6&gt;=DA6,0,U6*(1+'[6]Assets to be Leased'!$B$9))</f>
        <v>0</v>
      </c>
      <c r="DB7" s="143">
        <f>AC6*(1+'[6]Assets to be Leased'!$B$9)</f>
        <v>0</v>
      </c>
      <c r="DC7" s="143">
        <f>AK6*(1+'[6]Assets to be Leased'!$B$9)</f>
        <v>0</v>
      </c>
      <c r="DD7" s="144" t="str">
        <f>IF(AS6="","",AS6*(1+'[6]Assets to be Leased'!$B$9))</f>
        <v/>
      </c>
      <c r="DE7" s="144">
        <f>BA6*(1+'[6]Assets to be Leased'!$B$9)</f>
        <v>0</v>
      </c>
      <c r="DF7" s="144">
        <f>BI6*(1+'[6]Assets to be Leased'!$B$9)</f>
        <v>0</v>
      </c>
      <c r="DG7" s="144">
        <f>BQ6*(1+'[6]Assets to be Leased'!$B$9)</f>
        <v>0</v>
      </c>
      <c r="DH7" s="144">
        <f>BY6*(1+'[6]Assets to be Leased'!$B$9)</f>
        <v>0</v>
      </c>
      <c r="DI7" s="144">
        <f>CG6*(1+'[6]Assets to be Leased'!$B$9)</f>
        <v>0</v>
      </c>
      <c r="DJ7" s="144">
        <f>CO6*(1+'[6]Assets to be Leased'!$B$9)</f>
        <v>0</v>
      </c>
      <c r="DK7" s="148"/>
      <c r="DL7" s="148"/>
      <c r="DM7" s="148"/>
      <c r="DN7" s="78">
        <v>42064</v>
      </c>
      <c r="DO7" s="148"/>
      <c r="DP7" s="91"/>
      <c r="DQ7" s="91"/>
      <c r="DR7" s="91"/>
      <c r="DS7" s="149"/>
    </row>
    <row r="8" spans="2:131" ht="15" customHeight="1">
      <c r="B8" s="130"/>
      <c r="C8" s="131">
        <f>AY2</f>
        <v>0</v>
      </c>
      <c r="D8" s="132"/>
      <c r="E8" s="131">
        <f>VLOOKUP(D8,AU4:BA146,7,FALSE)</f>
        <v>0</v>
      </c>
      <c r="F8" s="134" t="e">
        <f>AX147/BA2</f>
        <v>#DIV/0!</v>
      </c>
      <c r="G8" s="131"/>
      <c r="H8" s="131"/>
      <c r="I8" s="133" t="e">
        <f t="shared" si="2"/>
        <v>#DIV/0!</v>
      </c>
      <c r="J8" s="133" t="e">
        <f t="shared" si="0"/>
        <v>#DIV/0!</v>
      </c>
      <c r="K8" s="229"/>
      <c r="L8" s="229"/>
      <c r="M8" s="229"/>
      <c r="O8" s="116">
        <f t="shared" si="1"/>
        <v>0</v>
      </c>
      <c r="P8" s="78">
        <v>42125</v>
      </c>
      <c r="Q8" s="91"/>
      <c r="R8" s="92"/>
      <c r="S8" s="91"/>
      <c r="T8" s="92"/>
      <c r="U8" s="92"/>
      <c r="V8" s="85"/>
      <c r="W8" s="116">
        <f t="shared" si="3"/>
        <v>0</v>
      </c>
      <c r="X8" s="78">
        <v>42125</v>
      </c>
      <c r="Y8" s="91"/>
      <c r="Z8" s="92"/>
      <c r="AA8" s="91"/>
      <c r="AB8" s="92"/>
      <c r="AC8" s="92"/>
      <c r="AE8" s="116">
        <f t="shared" si="4"/>
        <v>0</v>
      </c>
      <c r="AF8" s="78">
        <v>42125</v>
      </c>
      <c r="AG8" s="91"/>
      <c r="AH8" s="92"/>
      <c r="AI8" s="91"/>
      <c r="AJ8" s="92"/>
      <c r="AK8" s="92"/>
      <c r="AM8" s="116">
        <f t="shared" si="5"/>
        <v>0</v>
      </c>
      <c r="AN8" s="78">
        <v>42125</v>
      </c>
      <c r="AO8" s="91"/>
      <c r="AP8" s="92"/>
      <c r="AQ8" s="91"/>
      <c r="AR8" s="92"/>
      <c r="AS8" s="92"/>
      <c r="AU8" s="116">
        <f t="shared" si="6"/>
        <v>0</v>
      </c>
      <c r="AV8" s="78">
        <v>42125</v>
      </c>
      <c r="AW8" s="91"/>
      <c r="AX8" s="92"/>
      <c r="AY8" s="91"/>
      <c r="AZ8" s="92"/>
      <c r="BA8" s="92"/>
      <c r="BC8" s="116">
        <f t="shared" si="7"/>
        <v>0</v>
      </c>
      <c r="BD8" s="78">
        <v>42125</v>
      </c>
      <c r="BE8" s="91"/>
      <c r="BF8" s="92"/>
      <c r="BG8" s="91"/>
      <c r="BH8" s="92"/>
      <c r="BI8" s="92"/>
      <c r="BK8" s="116">
        <f t="shared" si="8"/>
        <v>0</v>
      </c>
      <c r="BL8" s="78">
        <v>42125</v>
      </c>
      <c r="BM8" s="91"/>
      <c r="BN8" s="92"/>
      <c r="BO8" s="91"/>
      <c r="BP8" s="92"/>
      <c r="BQ8" s="92"/>
      <c r="BS8" s="116">
        <f t="shared" si="9"/>
        <v>0</v>
      </c>
      <c r="BT8" s="78">
        <v>42125</v>
      </c>
      <c r="BU8" s="91"/>
      <c r="BV8" s="92"/>
      <c r="BW8" s="91"/>
      <c r="BX8" s="92"/>
      <c r="BY8" s="92"/>
      <c r="CA8" s="116">
        <f t="shared" si="10"/>
        <v>0</v>
      </c>
      <c r="CB8" s="78">
        <v>42125</v>
      </c>
      <c r="CC8" s="91"/>
      <c r="CD8" s="92"/>
      <c r="CE8" s="91"/>
      <c r="CF8" s="92"/>
      <c r="CG8" s="92"/>
      <c r="CI8" s="116">
        <f t="shared" si="11"/>
        <v>0</v>
      </c>
      <c r="CJ8" s="78">
        <v>42125</v>
      </c>
      <c r="CK8" s="91"/>
      <c r="CL8" s="92"/>
      <c r="CM8" s="91"/>
      <c r="CN8" s="92"/>
      <c r="CO8" s="92"/>
      <c r="CQ8" s="116">
        <f t="shared" si="12"/>
        <v>0</v>
      </c>
      <c r="CR8" s="78">
        <v>42125</v>
      </c>
      <c r="CS8" s="91"/>
      <c r="CT8" s="92"/>
      <c r="CU8" s="91"/>
      <c r="CV8" s="92"/>
      <c r="CW8" s="92"/>
      <c r="CZ8" s="78">
        <v>42095</v>
      </c>
      <c r="DA8" s="142">
        <f>IF(DO7&gt;=DA7,0,U7*(1+'[6]Assets to be Leased'!$B$9))</f>
        <v>0</v>
      </c>
      <c r="DB8" s="143">
        <f>AC7*(1+'[6]Assets to be Leased'!$B$9)</f>
        <v>0</v>
      </c>
      <c r="DC8" s="143">
        <f>AK7*(1+'[6]Assets to be Leased'!$B$9)</f>
        <v>0</v>
      </c>
      <c r="DD8" s="144" t="str">
        <f>IF(AS7="","",AS7*(1+'[6]Assets to be Leased'!$B$9))</f>
        <v/>
      </c>
      <c r="DE8" s="144">
        <f>BA7*(1+'[6]Assets to be Leased'!$B$9)</f>
        <v>0</v>
      </c>
      <c r="DF8" s="144">
        <f>BI7*(1+'[6]Assets to be Leased'!$B$9)</f>
        <v>0</v>
      </c>
      <c r="DG8" s="144">
        <f>BQ7*(1+'[6]Assets to be Leased'!$B$9)</f>
        <v>0</v>
      </c>
      <c r="DH8" s="144">
        <f>BY7*(1+'[6]Assets to be Leased'!$B$9)</f>
        <v>0</v>
      </c>
      <c r="DI8" s="144">
        <f>CG7*(1+'[6]Assets to be Leased'!$B$9)</f>
        <v>0</v>
      </c>
      <c r="DJ8" s="144">
        <f>CO7*(1+'[6]Assets to be Leased'!$B$9)</f>
        <v>0</v>
      </c>
      <c r="DK8" s="148"/>
      <c r="DL8" s="148"/>
      <c r="DM8" s="148"/>
      <c r="DN8" s="78">
        <v>42095</v>
      </c>
      <c r="DO8" s="148"/>
      <c r="DP8" s="91"/>
      <c r="DQ8" s="91"/>
      <c r="DR8" s="91"/>
      <c r="DS8" s="149"/>
    </row>
    <row r="9" spans="2:131" ht="15" customHeight="1">
      <c r="B9" s="130"/>
      <c r="C9" s="131">
        <f>BG2</f>
        <v>0</v>
      </c>
      <c r="D9" s="132"/>
      <c r="E9" s="131">
        <f>VLOOKUP(D9,BC4:BI146,7,FALSE)</f>
        <v>0</v>
      </c>
      <c r="F9" s="134" t="e">
        <f>BF147/BI2</f>
        <v>#DIV/0!</v>
      </c>
      <c r="G9" s="131"/>
      <c r="H9" s="131"/>
      <c r="I9" s="133" t="e">
        <f t="shared" si="2"/>
        <v>#DIV/0!</v>
      </c>
      <c r="J9" s="133" t="e">
        <f t="shared" si="0"/>
        <v>#DIV/0!</v>
      </c>
      <c r="K9" s="229"/>
      <c r="L9" s="229"/>
      <c r="M9" s="229"/>
      <c r="O9" s="116">
        <f t="shared" si="1"/>
        <v>0</v>
      </c>
      <c r="P9" s="78">
        <v>42156</v>
      </c>
      <c r="Q9" s="91"/>
      <c r="R9" s="92"/>
      <c r="S9" s="91"/>
      <c r="T9" s="92"/>
      <c r="U9" s="92"/>
      <c r="V9" s="85"/>
      <c r="W9" s="116">
        <f t="shared" si="3"/>
        <v>0</v>
      </c>
      <c r="X9" s="78">
        <v>42156</v>
      </c>
      <c r="Y9" s="91"/>
      <c r="Z9" s="92"/>
      <c r="AA9" s="91"/>
      <c r="AB9" s="92"/>
      <c r="AC9" s="92"/>
      <c r="AE9" s="116">
        <f t="shared" si="4"/>
        <v>0</v>
      </c>
      <c r="AF9" s="78">
        <v>42156</v>
      </c>
      <c r="AG9" s="91"/>
      <c r="AH9" s="92"/>
      <c r="AI9" s="91"/>
      <c r="AJ9" s="92"/>
      <c r="AK9" s="92"/>
      <c r="AM9" s="116">
        <f t="shared" si="5"/>
        <v>0</v>
      </c>
      <c r="AN9" s="78">
        <v>42156</v>
      </c>
      <c r="AO9" s="91"/>
      <c r="AP9" s="92"/>
      <c r="AQ9" s="91"/>
      <c r="AR9" s="92"/>
      <c r="AS9" s="92"/>
      <c r="AU9" s="116">
        <f t="shared" si="6"/>
        <v>0</v>
      </c>
      <c r="AV9" s="78">
        <v>42156</v>
      </c>
      <c r="AW9" s="91"/>
      <c r="AX9" s="92"/>
      <c r="AY9" s="91"/>
      <c r="AZ9" s="92"/>
      <c r="BA9" s="92"/>
      <c r="BC9" s="116">
        <f t="shared" si="7"/>
        <v>0</v>
      </c>
      <c r="BD9" s="78">
        <v>42156</v>
      </c>
      <c r="BE9" s="91"/>
      <c r="BF9" s="92"/>
      <c r="BG9" s="91"/>
      <c r="BH9" s="92"/>
      <c r="BI9" s="92"/>
      <c r="BK9" s="116">
        <f t="shared" si="8"/>
        <v>0</v>
      </c>
      <c r="BL9" s="78">
        <v>42156</v>
      </c>
      <c r="BM9" s="91"/>
      <c r="BN9" s="92"/>
      <c r="BO9" s="91"/>
      <c r="BP9" s="92"/>
      <c r="BQ9" s="92"/>
      <c r="BS9" s="116">
        <f t="shared" si="9"/>
        <v>0</v>
      </c>
      <c r="BT9" s="78">
        <v>42156</v>
      </c>
      <c r="BU9" s="91"/>
      <c r="BV9" s="92"/>
      <c r="BW9" s="91"/>
      <c r="BX9" s="92"/>
      <c r="BY9" s="92"/>
      <c r="CA9" s="116">
        <f t="shared" si="10"/>
        <v>0</v>
      </c>
      <c r="CB9" s="78">
        <v>42156</v>
      </c>
      <c r="CC9" s="91"/>
      <c r="CD9" s="92"/>
      <c r="CE9" s="91"/>
      <c r="CF9" s="92"/>
      <c r="CG9" s="92"/>
      <c r="CI9" s="116">
        <f t="shared" si="11"/>
        <v>0</v>
      </c>
      <c r="CJ9" s="78">
        <v>42156</v>
      </c>
      <c r="CK9" s="91"/>
      <c r="CL9" s="92"/>
      <c r="CM9" s="91"/>
      <c r="CN9" s="92"/>
      <c r="CO9" s="92"/>
      <c r="CQ9" s="116">
        <f t="shared" si="12"/>
        <v>0</v>
      </c>
      <c r="CR9" s="78">
        <v>42156</v>
      </c>
      <c r="CS9" s="91"/>
      <c r="CT9" s="92"/>
      <c r="CU9" s="91"/>
      <c r="CV9" s="92"/>
      <c r="CW9" s="92"/>
      <c r="CZ9" s="78">
        <v>42125</v>
      </c>
      <c r="DA9" s="142">
        <f>IF(DO8&gt;=DA8,0,U8*(1+'[6]Assets to be Leased'!$B$9))</f>
        <v>0</v>
      </c>
      <c r="DB9" s="143">
        <f>AC8*(1+'[6]Assets to be Leased'!$B$9)</f>
        <v>0</v>
      </c>
      <c r="DC9" s="143">
        <f>AK8*(1+'[6]Assets to be Leased'!$B$9)</f>
        <v>0</v>
      </c>
      <c r="DD9" s="144" t="str">
        <f>IF(AS8="","",AS8*(1+'[6]Assets to be Leased'!$B$9))</f>
        <v/>
      </c>
      <c r="DE9" s="144">
        <f>BA8*(1+'[6]Assets to be Leased'!$B$9)</f>
        <v>0</v>
      </c>
      <c r="DF9" s="144">
        <f>BI8*(1+'[6]Assets to be Leased'!$B$9)</f>
        <v>0</v>
      </c>
      <c r="DG9" s="144">
        <f>BQ8*(1+'[6]Assets to be Leased'!$B$9)</f>
        <v>0</v>
      </c>
      <c r="DH9" s="144">
        <f>BY8*(1+'[6]Assets to be Leased'!$B$9)</f>
        <v>0</v>
      </c>
      <c r="DI9" s="144">
        <f>CG8*(1+'[6]Assets to be Leased'!$B$9)</f>
        <v>0</v>
      </c>
      <c r="DJ9" s="144">
        <f>CO8*(1+'[6]Assets to be Leased'!$B$9)</f>
        <v>0</v>
      </c>
      <c r="DK9" s="148"/>
      <c r="DL9" s="148"/>
      <c r="DM9" s="148"/>
      <c r="DN9" s="78">
        <v>42125</v>
      </c>
      <c r="DO9" s="148"/>
      <c r="DP9" s="91"/>
      <c r="DQ9" s="91"/>
      <c r="DR9" s="91"/>
      <c r="DS9" s="149"/>
    </row>
    <row r="10" spans="2:131" ht="15" customHeight="1">
      <c r="B10" s="130"/>
      <c r="C10" s="131">
        <f>BO2</f>
        <v>0</v>
      </c>
      <c r="D10" s="132"/>
      <c r="E10" s="131">
        <f>VLOOKUP(D10,BK4:BQ146,7,FALSE)</f>
        <v>0</v>
      </c>
      <c r="F10" s="134" t="e">
        <f>BN147/BQ2</f>
        <v>#DIV/0!</v>
      </c>
      <c r="G10" s="131"/>
      <c r="H10" s="131"/>
      <c r="I10" s="133" t="e">
        <f t="shared" si="2"/>
        <v>#DIV/0!</v>
      </c>
      <c r="J10" s="133" t="e">
        <f t="shared" si="0"/>
        <v>#DIV/0!</v>
      </c>
      <c r="K10" s="229"/>
      <c r="L10" s="229"/>
      <c r="M10" s="229"/>
      <c r="O10" s="116">
        <f t="shared" si="1"/>
        <v>0</v>
      </c>
      <c r="P10" s="78">
        <v>42186</v>
      </c>
      <c r="Q10" s="91"/>
      <c r="R10" s="92"/>
      <c r="S10" s="91"/>
      <c r="T10" s="92"/>
      <c r="U10" s="92"/>
      <c r="V10" s="85"/>
      <c r="W10" s="116">
        <f t="shared" si="3"/>
        <v>0</v>
      </c>
      <c r="X10" s="78">
        <v>42186</v>
      </c>
      <c r="Y10" s="91"/>
      <c r="Z10" s="92"/>
      <c r="AA10" s="91"/>
      <c r="AB10" s="92"/>
      <c r="AC10" s="92"/>
      <c r="AE10" s="116">
        <f t="shared" si="4"/>
        <v>0</v>
      </c>
      <c r="AF10" s="78">
        <v>42186</v>
      </c>
      <c r="AG10" s="91"/>
      <c r="AH10" s="92"/>
      <c r="AI10" s="91"/>
      <c r="AJ10" s="92"/>
      <c r="AK10" s="92"/>
      <c r="AM10" s="116">
        <f t="shared" si="5"/>
        <v>0</v>
      </c>
      <c r="AN10" s="78">
        <v>42186</v>
      </c>
      <c r="AO10" s="91"/>
      <c r="AP10" s="92"/>
      <c r="AQ10" s="91"/>
      <c r="AR10" s="92"/>
      <c r="AS10" s="92"/>
      <c r="AU10" s="116">
        <f t="shared" si="6"/>
        <v>0</v>
      </c>
      <c r="AV10" s="78">
        <v>42186</v>
      </c>
      <c r="AW10" s="91"/>
      <c r="AX10" s="92"/>
      <c r="AY10" s="91"/>
      <c r="AZ10" s="92"/>
      <c r="BA10" s="92"/>
      <c r="BC10" s="116">
        <f t="shared" si="7"/>
        <v>0</v>
      </c>
      <c r="BD10" s="78">
        <v>42186</v>
      </c>
      <c r="BE10" s="91"/>
      <c r="BF10" s="92"/>
      <c r="BG10" s="91"/>
      <c r="BH10" s="92"/>
      <c r="BI10" s="92"/>
      <c r="BK10" s="116">
        <f t="shared" si="8"/>
        <v>0</v>
      </c>
      <c r="BL10" s="78">
        <v>42186</v>
      </c>
      <c r="BM10" s="91"/>
      <c r="BN10" s="92"/>
      <c r="BO10" s="91"/>
      <c r="BP10" s="92"/>
      <c r="BQ10" s="92"/>
      <c r="BS10" s="116">
        <f t="shared" si="9"/>
        <v>0</v>
      </c>
      <c r="BT10" s="78">
        <v>42186</v>
      </c>
      <c r="BU10" s="91"/>
      <c r="BV10" s="92"/>
      <c r="BW10" s="91"/>
      <c r="BX10" s="92"/>
      <c r="BY10" s="92"/>
      <c r="CA10" s="116">
        <f t="shared" si="10"/>
        <v>0</v>
      </c>
      <c r="CB10" s="78">
        <v>42186</v>
      </c>
      <c r="CC10" s="91"/>
      <c r="CD10" s="92"/>
      <c r="CE10" s="91"/>
      <c r="CF10" s="92"/>
      <c r="CG10" s="92"/>
      <c r="CI10" s="116">
        <f t="shared" si="11"/>
        <v>0</v>
      </c>
      <c r="CJ10" s="78">
        <v>42186</v>
      </c>
      <c r="CK10" s="91"/>
      <c r="CL10" s="92"/>
      <c r="CM10" s="91"/>
      <c r="CN10" s="92"/>
      <c r="CO10" s="92"/>
      <c r="CQ10" s="116">
        <f t="shared" si="12"/>
        <v>0</v>
      </c>
      <c r="CR10" s="78">
        <v>42186</v>
      </c>
      <c r="CS10" s="91"/>
      <c r="CT10" s="92"/>
      <c r="CU10" s="91"/>
      <c r="CV10" s="92"/>
      <c r="CW10" s="92"/>
      <c r="CZ10" s="78">
        <v>42156</v>
      </c>
      <c r="DA10" s="142">
        <f>IF(DO9&gt;=DA9,0,U9*(1+'[6]Assets to be Leased'!$B$9))</f>
        <v>0</v>
      </c>
      <c r="DB10" s="143">
        <f>AC9*(1+'[6]Assets to be Leased'!$B$9)</f>
        <v>0</v>
      </c>
      <c r="DC10" s="143">
        <f>AK9*(1+'[6]Assets to be Leased'!$B$9)</f>
        <v>0</v>
      </c>
      <c r="DD10" s="144" t="str">
        <f>IF(AS9="","",AS9*(1+'[6]Assets to be Leased'!$B$9))</f>
        <v/>
      </c>
      <c r="DE10" s="144">
        <f>BA9*(1+'[6]Assets to be Leased'!$B$9)</f>
        <v>0</v>
      </c>
      <c r="DF10" s="144">
        <f>BI9*(1+'[6]Assets to be Leased'!$B$9)</f>
        <v>0</v>
      </c>
      <c r="DG10" s="144">
        <f>BQ9*(1+'[6]Assets to be Leased'!$B$9)</f>
        <v>0</v>
      </c>
      <c r="DH10" s="144">
        <f>BY9*(1+'[6]Assets to be Leased'!$B$9)</f>
        <v>0</v>
      </c>
      <c r="DI10" s="144">
        <f>CG9*(1+'[6]Assets to be Leased'!$B$9)</f>
        <v>0</v>
      </c>
      <c r="DJ10" s="144">
        <f>CO9*(1+'[6]Assets to be Leased'!$B$9)</f>
        <v>0</v>
      </c>
      <c r="DK10" s="148"/>
      <c r="DL10" s="148"/>
      <c r="DM10" s="148"/>
      <c r="DN10" s="78">
        <v>42156</v>
      </c>
      <c r="DO10" s="148"/>
      <c r="DP10" s="91"/>
      <c r="DQ10" s="91"/>
      <c r="DR10" s="91"/>
      <c r="DS10" s="149"/>
    </row>
    <row r="11" spans="2:131" ht="15" customHeight="1">
      <c r="B11" s="130"/>
      <c r="C11" s="131">
        <f>BW2</f>
        <v>0</v>
      </c>
      <c r="D11" s="132"/>
      <c r="E11" s="131">
        <f>VLOOKUP(D11,BS4:BY146,7,FALSE)</f>
        <v>0</v>
      </c>
      <c r="F11" s="134" t="e">
        <f>BV147/BY2</f>
        <v>#DIV/0!</v>
      </c>
      <c r="G11" s="131"/>
      <c r="H11" s="131"/>
      <c r="I11" s="133" t="e">
        <f t="shared" si="2"/>
        <v>#DIV/0!</v>
      </c>
      <c r="J11" s="133" t="e">
        <f t="shared" si="0"/>
        <v>#DIV/0!</v>
      </c>
      <c r="K11" s="229"/>
      <c r="L11" s="229"/>
      <c r="M11" s="229"/>
      <c r="O11" s="116">
        <f t="shared" si="1"/>
        <v>0</v>
      </c>
      <c r="P11" s="78">
        <v>42217</v>
      </c>
      <c r="Q11" s="91"/>
      <c r="R11" s="92"/>
      <c r="S11" s="91"/>
      <c r="T11" s="92"/>
      <c r="U11" s="92"/>
      <c r="V11" s="85"/>
      <c r="W11" s="116">
        <f t="shared" si="3"/>
        <v>0</v>
      </c>
      <c r="X11" s="78">
        <v>42217</v>
      </c>
      <c r="Y11" s="91"/>
      <c r="Z11" s="92"/>
      <c r="AA11" s="91"/>
      <c r="AB11" s="92"/>
      <c r="AC11" s="92"/>
      <c r="AE11" s="116">
        <f t="shared" si="4"/>
        <v>0</v>
      </c>
      <c r="AF11" s="78">
        <v>42217</v>
      </c>
      <c r="AG11" s="91"/>
      <c r="AH11" s="92"/>
      <c r="AI11" s="91"/>
      <c r="AJ11" s="92"/>
      <c r="AK11" s="92"/>
      <c r="AM11" s="116">
        <f t="shared" si="5"/>
        <v>0</v>
      </c>
      <c r="AN11" s="78">
        <v>42217</v>
      </c>
      <c r="AO11" s="91"/>
      <c r="AP11" s="92"/>
      <c r="AQ11" s="91"/>
      <c r="AR11" s="92"/>
      <c r="AS11" s="92"/>
      <c r="AU11" s="116">
        <f t="shared" si="6"/>
        <v>0</v>
      </c>
      <c r="AV11" s="78">
        <v>42217</v>
      </c>
      <c r="AW11" s="91"/>
      <c r="AX11" s="92"/>
      <c r="AY11" s="91"/>
      <c r="AZ11" s="92"/>
      <c r="BA11" s="92"/>
      <c r="BC11" s="116">
        <f t="shared" si="7"/>
        <v>0</v>
      </c>
      <c r="BD11" s="78">
        <v>42217</v>
      </c>
      <c r="BE11" s="91"/>
      <c r="BF11" s="92"/>
      <c r="BG11" s="91"/>
      <c r="BH11" s="92"/>
      <c r="BI11" s="92"/>
      <c r="BK11" s="116">
        <f t="shared" si="8"/>
        <v>0</v>
      </c>
      <c r="BL11" s="78">
        <v>42217</v>
      </c>
      <c r="BM11" s="91"/>
      <c r="BN11" s="92"/>
      <c r="BO11" s="91"/>
      <c r="BP11" s="92"/>
      <c r="BQ11" s="92"/>
      <c r="BS11" s="116">
        <f t="shared" si="9"/>
        <v>0</v>
      </c>
      <c r="BT11" s="78">
        <v>42217</v>
      </c>
      <c r="BU11" s="91"/>
      <c r="BV11" s="92"/>
      <c r="BW11" s="91"/>
      <c r="BX11" s="92"/>
      <c r="BY11" s="92"/>
      <c r="CA11" s="116">
        <f t="shared" si="10"/>
        <v>0</v>
      </c>
      <c r="CB11" s="78">
        <v>42217</v>
      </c>
      <c r="CC11" s="91"/>
      <c r="CD11" s="92"/>
      <c r="CE11" s="91"/>
      <c r="CF11" s="92"/>
      <c r="CG11" s="92"/>
      <c r="CI11" s="116">
        <f t="shared" si="11"/>
        <v>0</v>
      </c>
      <c r="CJ11" s="78">
        <v>42217</v>
      </c>
      <c r="CK11" s="91"/>
      <c r="CL11" s="92"/>
      <c r="CM11" s="91"/>
      <c r="CN11" s="92"/>
      <c r="CO11" s="92"/>
      <c r="CQ11" s="116">
        <f t="shared" si="12"/>
        <v>0</v>
      </c>
      <c r="CR11" s="78">
        <v>42217</v>
      </c>
      <c r="CS11" s="91"/>
      <c r="CT11" s="92"/>
      <c r="CU11" s="91"/>
      <c r="CV11" s="92"/>
      <c r="CW11" s="92"/>
      <c r="CZ11" s="78">
        <v>42186</v>
      </c>
      <c r="DA11" s="142">
        <f>IF(DO10&gt;=DA10,0,U10*(1+'[6]Assets to be Leased'!$B$9))</f>
        <v>0</v>
      </c>
      <c r="DB11" s="143">
        <f>AC10*(1+'[6]Assets to be Leased'!$B$9)</f>
        <v>0</v>
      </c>
      <c r="DC11" s="143">
        <f>AK10*(1+'[6]Assets to be Leased'!$B$9)</f>
        <v>0</v>
      </c>
      <c r="DD11" s="144" t="str">
        <f>IF(AS10="","",AS10*(1+'[6]Assets to be Leased'!$B$9))</f>
        <v/>
      </c>
      <c r="DE11" s="144">
        <f>BA10*(1+'[6]Assets to be Leased'!$B$9)</f>
        <v>0</v>
      </c>
      <c r="DF11" s="144">
        <f>BI10*(1+'[6]Assets to be Leased'!$B$9)</f>
        <v>0</v>
      </c>
      <c r="DG11" s="144">
        <f>BQ10*(1+'[6]Assets to be Leased'!$B$9)</f>
        <v>0</v>
      </c>
      <c r="DH11" s="144">
        <f>BY10*(1+'[6]Assets to be Leased'!$B$9)</f>
        <v>0</v>
      </c>
      <c r="DI11" s="144">
        <f>CG10*(1+'[6]Assets to be Leased'!$B$9)</f>
        <v>0</v>
      </c>
      <c r="DJ11" s="144">
        <f>CO10*(1+'[6]Assets to be Leased'!$B$9)</f>
        <v>0</v>
      </c>
      <c r="DK11" s="148"/>
      <c r="DL11" s="148"/>
      <c r="DM11" s="148"/>
      <c r="DN11" s="78">
        <v>42186</v>
      </c>
      <c r="DO11" s="148"/>
      <c r="DP11" s="91"/>
      <c r="DQ11" s="91"/>
      <c r="DR11" s="91"/>
      <c r="DS11" s="149"/>
    </row>
    <row r="12" spans="2:131" ht="15" customHeight="1">
      <c r="B12" s="130"/>
      <c r="C12" s="131">
        <f>CE2</f>
        <v>0</v>
      </c>
      <c r="D12" s="132"/>
      <c r="E12" s="131">
        <f>VLOOKUP(D12,CA4:CG146,7,FALSE)</f>
        <v>0</v>
      </c>
      <c r="F12" s="134" t="e">
        <f>CD147/CG2</f>
        <v>#DIV/0!</v>
      </c>
      <c r="G12" s="131"/>
      <c r="H12" s="131"/>
      <c r="I12" s="133" t="e">
        <f t="shared" si="2"/>
        <v>#DIV/0!</v>
      </c>
      <c r="J12" s="133" t="e">
        <f t="shared" si="0"/>
        <v>#DIV/0!</v>
      </c>
      <c r="K12" s="229"/>
      <c r="L12" s="229"/>
      <c r="M12" s="229"/>
      <c r="O12" s="116">
        <f t="shared" si="1"/>
        <v>0</v>
      </c>
      <c r="P12" s="78">
        <v>42248</v>
      </c>
      <c r="Q12" s="91"/>
      <c r="R12" s="92"/>
      <c r="S12" s="91"/>
      <c r="T12" s="92"/>
      <c r="U12" s="92"/>
      <c r="V12" s="85"/>
      <c r="W12" s="116">
        <f t="shared" si="3"/>
        <v>0</v>
      </c>
      <c r="X12" s="78">
        <v>42248</v>
      </c>
      <c r="Y12" s="91"/>
      <c r="Z12" s="92"/>
      <c r="AA12" s="91"/>
      <c r="AB12" s="92"/>
      <c r="AC12" s="92"/>
      <c r="AE12" s="116">
        <f t="shared" si="4"/>
        <v>0</v>
      </c>
      <c r="AF12" s="78">
        <v>42248</v>
      </c>
      <c r="AG12" s="91"/>
      <c r="AH12" s="92"/>
      <c r="AI12" s="91"/>
      <c r="AJ12" s="92"/>
      <c r="AK12" s="92"/>
      <c r="AM12" s="116">
        <f t="shared" si="5"/>
        <v>0</v>
      </c>
      <c r="AN12" s="78">
        <v>42248</v>
      </c>
      <c r="AO12" s="91"/>
      <c r="AP12" s="92"/>
      <c r="AQ12" s="91"/>
      <c r="AR12" s="92"/>
      <c r="AS12" s="92"/>
      <c r="AU12" s="116">
        <f t="shared" si="6"/>
        <v>0</v>
      </c>
      <c r="AV12" s="78">
        <v>42248</v>
      </c>
      <c r="AW12" s="91"/>
      <c r="AX12" s="92"/>
      <c r="AY12" s="91"/>
      <c r="AZ12" s="92"/>
      <c r="BA12" s="92"/>
      <c r="BC12" s="116">
        <f t="shared" si="7"/>
        <v>0</v>
      </c>
      <c r="BD12" s="78">
        <v>42248</v>
      </c>
      <c r="BE12" s="91"/>
      <c r="BF12" s="92"/>
      <c r="BG12" s="91"/>
      <c r="BH12" s="92"/>
      <c r="BI12" s="92"/>
      <c r="BK12" s="116">
        <f t="shared" si="8"/>
        <v>0</v>
      </c>
      <c r="BL12" s="78">
        <v>42248</v>
      </c>
      <c r="BM12" s="91"/>
      <c r="BN12" s="92"/>
      <c r="BO12" s="91"/>
      <c r="BP12" s="92"/>
      <c r="BQ12" s="92"/>
      <c r="BS12" s="116">
        <f t="shared" si="9"/>
        <v>0</v>
      </c>
      <c r="BT12" s="78">
        <v>42248</v>
      </c>
      <c r="BU12" s="91"/>
      <c r="BV12" s="92"/>
      <c r="BW12" s="91"/>
      <c r="BX12" s="92"/>
      <c r="BY12" s="92"/>
      <c r="CA12" s="116">
        <f t="shared" si="10"/>
        <v>0</v>
      </c>
      <c r="CB12" s="78">
        <v>42248</v>
      </c>
      <c r="CC12" s="91"/>
      <c r="CD12" s="92"/>
      <c r="CE12" s="91"/>
      <c r="CF12" s="92"/>
      <c r="CG12" s="92"/>
      <c r="CI12" s="116">
        <f t="shared" si="11"/>
        <v>0</v>
      </c>
      <c r="CJ12" s="78">
        <v>42248</v>
      </c>
      <c r="CK12" s="91"/>
      <c r="CL12" s="92"/>
      <c r="CM12" s="91"/>
      <c r="CN12" s="92"/>
      <c r="CO12" s="92"/>
      <c r="CQ12" s="116">
        <f t="shared" si="12"/>
        <v>0</v>
      </c>
      <c r="CR12" s="78">
        <v>42248</v>
      </c>
      <c r="CS12" s="91"/>
      <c r="CT12" s="92"/>
      <c r="CU12" s="91"/>
      <c r="CV12" s="92"/>
      <c r="CW12" s="92"/>
      <c r="CZ12" s="78">
        <v>42217</v>
      </c>
      <c r="DA12" s="142">
        <f>IF(DO11&gt;=DA11,0,U11*(1+'[6]Assets to be Leased'!$B$9))</f>
        <v>0</v>
      </c>
      <c r="DB12" s="143">
        <f>AC11*(1+'[6]Assets to be Leased'!$B$9)</f>
        <v>0</v>
      </c>
      <c r="DC12" s="143">
        <f>AK11*(1+'[6]Assets to be Leased'!$B$9)</f>
        <v>0</v>
      </c>
      <c r="DD12" s="144" t="str">
        <f>IF(AS11="","",AS11*(1+'[6]Assets to be Leased'!$B$9))</f>
        <v/>
      </c>
      <c r="DE12" s="144">
        <f>BA11*(1+'[6]Assets to be Leased'!$B$9)</f>
        <v>0</v>
      </c>
      <c r="DF12" s="144">
        <f>BI11*(1+'[6]Assets to be Leased'!$B$9)</f>
        <v>0</v>
      </c>
      <c r="DG12" s="144">
        <f>BQ11*(1+'[6]Assets to be Leased'!$B$9)</f>
        <v>0</v>
      </c>
      <c r="DH12" s="144">
        <f>BY11*(1+'[6]Assets to be Leased'!$B$9)</f>
        <v>0</v>
      </c>
      <c r="DI12" s="144">
        <f>CG11*(1+'[6]Assets to be Leased'!$B$9)</f>
        <v>0</v>
      </c>
      <c r="DJ12" s="144">
        <f>CO11*(1+'[6]Assets to be Leased'!$B$9)</f>
        <v>0</v>
      </c>
      <c r="DK12" s="148"/>
      <c r="DL12" s="148"/>
      <c r="DM12" s="148"/>
      <c r="DN12" s="78">
        <v>42217</v>
      </c>
      <c r="DO12" s="148"/>
      <c r="DP12" s="91"/>
      <c r="DQ12" s="91"/>
      <c r="DR12" s="91"/>
      <c r="DS12" s="149"/>
    </row>
    <row r="13" spans="2:131" ht="15" customHeight="1">
      <c r="B13" s="130"/>
      <c r="C13" s="131">
        <f>CM2</f>
        <v>0</v>
      </c>
      <c r="D13" s="132"/>
      <c r="E13" s="131">
        <f>VLOOKUP(D13,CI4:CO146,7,FALSE)</f>
        <v>0</v>
      </c>
      <c r="F13" s="134" t="e">
        <f>CL147/CO2</f>
        <v>#DIV/0!</v>
      </c>
      <c r="G13" s="131"/>
      <c r="H13" s="131"/>
      <c r="I13" s="133" t="e">
        <f t="shared" si="2"/>
        <v>#DIV/0!</v>
      </c>
      <c r="J13" s="133" t="e">
        <f t="shared" si="0"/>
        <v>#DIV/0!</v>
      </c>
      <c r="K13" s="229"/>
      <c r="L13" s="229"/>
      <c r="M13" s="229"/>
      <c r="O13" s="116">
        <f t="shared" si="1"/>
        <v>0</v>
      </c>
      <c r="P13" s="78">
        <v>42278</v>
      </c>
      <c r="Q13" s="91"/>
      <c r="R13" s="92"/>
      <c r="S13" s="91"/>
      <c r="T13" s="92"/>
      <c r="U13" s="92"/>
      <c r="V13" s="85"/>
      <c r="W13" s="116">
        <f t="shared" si="3"/>
        <v>0</v>
      </c>
      <c r="X13" s="78">
        <v>42278</v>
      </c>
      <c r="Y13" s="91"/>
      <c r="Z13" s="92"/>
      <c r="AA13" s="91"/>
      <c r="AB13" s="92"/>
      <c r="AC13" s="103"/>
      <c r="AE13" s="116">
        <f t="shared" si="4"/>
        <v>0</v>
      </c>
      <c r="AF13" s="78">
        <v>42278</v>
      </c>
      <c r="AG13" s="91"/>
      <c r="AH13" s="92"/>
      <c r="AI13" s="91"/>
      <c r="AJ13" s="92"/>
      <c r="AK13" s="103"/>
      <c r="AM13" s="116">
        <f t="shared" si="5"/>
        <v>0</v>
      </c>
      <c r="AN13" s="78">
        <v>42278</v>
      </c>
      <c r="AO13" s="91"/>
      <c r="AP13" s="92"/>
      <c r="AQ13" s="91"/>
      <c r="AR13" s="92"/>
      <c r="AS13" s="103"/>
      <c r="AU13" s="116">
        <f t="shared" si="6"/>
        <v>0</v>
      </c>
      <c r="AV13" s="78">
        <v>42278</v>
      </c>
      <c r="AW13" s="91"/>
      <c r="AX13" s="92"/>
      <c r="AY13" s="91"/>
      <c r="AZ13" s="92"/>
      <c r="BA13" s="103"/>
      <c r="BC13" s="116">
        <f t="shared" si="7"/>
        <v>0</v>
      </c>
      <c r="BD13" s="78">
        <v>42278</v>
      </c>
      <c r="BE13" s="91"/>
      <c r="BF13" s="92"/>
      <c r="BG13" s="91"/>
      <c r="BH13" s="92"/>
      <c r="BI13" s="103"/>
      <c r="BK13" s="116">
        <f t="shared" si="8"/>
        <v>0</v>
      </c>
      <c r="BL13" s="78">
        <v>42278</v>
      </c>
      <c r="BM13" s="91"/>
      <c r="BN13" s="92"/>
      <c r="BO13" s="91"/>
      <c r="BP13" s="92"/>
      <c r="BQ13" s="103"/>
      <c r="BS13" s="116">
        <f t="shared" si="9"/>
        <v>0</v>
      </c>
      <c r="BT13" s="78">
        <v>42278</v>
      </c>
      <c r="BU13" s="91"/>
      <c r="BV13" s="92"/>
      <c r="BW13" s="91"/>
      <c r="BX13" s="92"/>
      <c r="BY13" s="103"/>
      <c r="CA13" s="116">
        <f t="shared" si="10"/>
        <v>0</v>
      </c>
      <c r="CB13" s="78">
        <v>42278</v>
      </c>
      <c r="CC13" s="91"/>
      <c r="CD13" s="92"/>
      <c r="CE13" s="91"/>
      <c r="CF13" s="92"/>
      <c r="CG13" s="103"/>
      <c r="CI13" s="116">
        <f t="shared" si="11"/>
        <v>0</v>
      </c>
      <c r="CJ13" s="78">
        <v>42278</v>
      </c>
      <c r="CK13" s="91"/>
      <c r="CL13" s="92"/>
      <c r="CM13" s="91"/>
      <c r="CN13" s="92"/>
      <c r="CO13" s="103"/>
      <c r="CQ13" s="116">
        <f t="shared" si="12"/>
        <v>0</v>
      </c>
      <c r="CR13" s="78">
        <v>42278</v>
      </c>
      <c r="CS13" s="91"/>
      <c r="CT13" s="92"/>
      <c r="CU13" s="91"/>
      <c r="CV13" s="92"/>
      <c r="CW13" s="103"/>
      <c r="CZ13" s="78">
        <v>42248</v>
      </c>
      <c r="DA13" s="142">
        <f>IF(DO12&gt;=DA12,0,U12*(1+'[6]Assets to be Leased'!$B$9))</f>
        <v>0</v>
      </c>
      <c r="DB13" s="143">
        <f>AC12*(1+'[6]Assets to be Leased'!$B$9)</f>
        <v>0</v>
      </c>
      <c r="DC13" s="143">
        <f>AK12*(1+'[6]Assets to be Leased'!$B$9)</f>
        <v>0</v>
      </c>
      <c r="DD13" s="144" t="str">
        <f>IF(AS12="","",AS12*(1+'[6]Assets to be Leased'!$B$9))</f>
        <v/>
      </c>
      <c r="DE13" s="144">
        <f>BA12*(1+'[6]Assets to be Leased'!$B$9)</f>
        <v>0</v>
      </c>
      <c r="DF13" s="144">
        <f>BI12*(1+'[6]Assets to be Leased'!$B$9)</f>
        <v>0</v>
      </c>
      <c r="DG13" s="144">
        <f>BQ12*(1+'[6]Assets to be Leased'!$B$9)</f>
        <v>0</v>
      </c>
      <c r="DH13" s="144">
        <f>BY12*(1+'[6]Assets to be Leased'!$B$9)</f>
        <v>0</v>
      </c>
      <c r="DI13" s="144">
        <f>CG12*(1+'[6]Assets to be Leased'!$B$9)</f>
        <v>0</v>
      </c>
      <c r="DJ13" s="144">
        <f>CO12*(1+'[6]Assets to be Leased'!$B$9)</f>
        <v>0</v>
      </c>
      <c r="DK13" s="148"/>
      <c r="DL13" s="148"/>
      <c r="DM13" s="148"/>
      <c r="DN13" s="78">
        <v>42248</v>
      </c>
      <c r="DO13" s="148"/>
      <c r="DP13" s="91"/>
      <c r="DQ13" s="91"/>
      <c r="DR13" s="91"/>
      <c r="DS13" s="149"/>
    </row>
    <row r="14" spans="2:131" ht="18" customHeight="1">
      <c r="B14" s="129" t="s">
        <v>197</v>
      </c>
      <c r="C14" s="135">
        <f>SUM(C4:C13)</f>
        <v>0</v>
      </c>
      <c r="D14" s="136"/>
      <c r="E14" s="135">
        <f>SUM(E4:E13)</f>
        <v>0</v>
      </c>
      <c r="F14" s="135">
        <f>SUMIF(F4:F13,"&gt;0")</f>
        <v>0</v>
      </c>
      <c r="G14" s="135">
        <f>SUM(G4:G13)</f>
        <v>0</v>
      </c>
      <c r="H14" s="135">
        <f>SUM(H4:H13)</f>
        <v>0</v>
      </c>
      <c r="I14" s="137" t="e">
        <f t="shared" si="2"/>
        <v>#DIV/0!</v>
      </c>
      <c r="J14" s="137" t="e">
        <f t="shared" si="0"/>
        <v>#DIV/0!</v>
      </c>
      <c r="K14" s="230"/>
      <c r="L14" s="230"/>
      <c r="M14" s="230"/>
      <c r="O14" s="116">
        <f t="shared" si="1"/>
        <v>0</v>
      </c>
      <c r="P14" s="78">
        <v>42309</v>
      </c>
      <c r="Q14" s="91"/>
      <c r="R14" s="92"/>
      <c r="S14" s="91"/>
      <c r="T14" s="92"/>
      <c r="U14" s="92"/>
      <c r="V14" s="85"/>
      <c r="W14" s="116">
        <f t="shared" si="3"/>
        <v>0</v>
      </c>
      <c r="X14" s="78">
        <v>42309</v>
      </c>
      <c r="Y14" s="104"/>
      <c r="Z14" s="105"/>
      <c r="AA14" s="104"/>
      <c r="AB14" s="105"/>
      <c r="AC14" s="105"/>
      <c r="AE14" s="116">
        <f t="shared" si="4"/>
        <v>0</v>
      </c>
      <c r="AF14" s="78">
        <v>42309</v>
      </c>
      <c r="AG14" s="104"/>
      <c r="AH14" s="105"/>
      <c r="AI14" s="104"/>
      <c r="AJ14" s="105"/>
      <c r="AK14" s="105"/>
      <c r="AM14" s="116">
        <f t="shared" si="5"/>
        <v>0</v>
      </c>
      <c r="AN14" s="78">
        <v>42309</v>
      </c>
      <c r="AO14" s="104"/>
      <c r="AP14" s="105"/>
      <c r="AQ14" s="104"/>
      <c r="AR14" s="105"/>
      <c r="AS14" s="105"/>
      <c r="AU14" s="116">
        <f t="shared" si="6"/>
        <v>0</v>
      </c>
      <c r="AV14" s="78">
        <v>42309</v>
      </c>
      <c r="AW14" s="104"/>
      <c r="AX14" s="105"/>
      <c r="AY14" s="104"/>
      <c r="AZ14" s="105"/>
      <c r="BA14" s="105"/>
      <c r="BC14" s="116">
        <f t="shared" si="7"/>
        <v>0</v>
      </c>
      <c r="BD14" s="78">
        <v>42309</v>
      </c>
      <c r="BE14" s="104"/>
      <c r="BF14" s="105"/>
      <c r="BG14" s="104"/>
      <c r="BH14" s="105"/>
      <c r="BI14" s="105"/>
      <c r="BK14" s="116">
        <f t="shared" si="8"/>
        <v>0</v>
      </c>
      <c r="BL14" s="78">
        <v>42309</v>
      </c>
      <c r="BM14" s="104"/>
      <c r="BN14" s="105"/>
      <c r="BO14" s="104"/>
      <c r="BP14" s="105"/>
      <c r="BQ14" s="105"/>
      <c r="BS14" s="116">
        <f t="shared" si="9"/>
        <v>0</v>
      </c>
      <c r="BT14" s="78">
        <v>42309</v>
      </c>
      <c r="BU14" s="104"/>
      <c r="BV14" s="105"/>
      <c r="BW14" s="104"/>
      <c r="BX14" s="105"/>
      <c r="BY14" s="105"/>
      <c r="CA14" s="116">
        <f t="shared" si="10"/>
        <v>0</v>
      </c>
      <c r="CB14" s="78">
        <v>42309</v>
      </c>
      <c r="CC14" s="104"/>
      <c r="CD14" s="105"/>
      <c r="CE14" s="104"/>
      <c r="CF14" s="105"/>
      <c r="CG14" s="105"/>
      <c r="CI14" s="116">
        <f t="shared" si="11"/>
        <v>0</v>
      </c>
      <c r="CJ14" s="78">
        <v>42309</v>
      </c>
      <c r="CK14" s="104"/>
      <c r="CL14" s="105"/>
      <c r="CM14" s="104"/>
      <c r="CN14" s="105"/>
      <c r="CO14" s="105"/>
      <c r="CQ14" s="116">
        <f t="shared" si="12"/>
        <v>0</v>
      </c>
      <c r="CR14" s="78">
        <v>42309</v>
      </c>
      <c r="CS14" s="104"/>
      <c r="CT14" s="105"/>
      <c r="CU14" s="104"/>
      <c r="CV14" s="105"/>
      <c r="CW14" s="105"/>
      <c r="CZ14" s="78">
        <v>42278</v>
      </c>
      <c r="DA14" s="142">
        <f>IF(DO13&gt;=DA13,0,U13*(1+'[6]Assets to be Leased'!$B$9))</f>
        <v>0</v>
      </c>
      <c r="DB14" s="143">
        <f>AC13*(1+'[6]Assets to be Leased'!$B$9)</f>
        <v>0</v>
      </c>
      <c r="DC14" s="143">
        <f>AK13*(1+'[6]Assets to be Leased'!$B$9)</f>
        <v>0</v>
      </c>
      <c r="DD14" s="144" t="str">
        <f>IF(AS13="","",AS13*(1+'[6]Assets to be Leased'!$B$9))</f>
        <v/>
      </c>
      <c r="DE14" s="144">
        <f>BA13*(1+'[6]Assets to be Leased'!$B$9)</f>
        <v>0</v>
      </c>
      <c r="DF14" s="144">
        <f>BI13*(1+'[6]Assets to be Leased'!$B$9)</f>
        <v>0</v>
      </c>
      <c r="DG14" s="144">
        <f>BQ13*(1+'[6]Assets to be Leased'!$B$9)</f>
        <v>0</v>
      </c>
      <c r="DH14" s="144">
        <f>BY13*(1+'[6]Assets to be Leased'!$B$9)</f>
        <v>0</v>
      </c>
      <c r="DI14" s="144">
        <f>CG13*(1+'[6]Assets to be Leased'!$B$9)</f>
        <v>0</v>
      </c>
      <c r="DJ14" s="144">
        <f>CO13*(1+'[6]Assets to be Leased'!$B$9)</f>
        <v>0</v>
      </c>
      <c r="DK14" s="150"/>
      <c r="DL14" s="150"/>
      <c r="DM14" s="150"/>
      <c r="DN14" s="78">
        <v>42278</v>
      </c>
      <c r="DO14" s="150"/>
      <c r="DP14" s="151"/>
      <c r="DQ14" s="151"/>
      <c r="DR14" s="151"/>
      <c r="DS14" s="152"/>
    </row>
    <row r="15" spans="2:131">
      <c r="B15" s="240" t="s">
        <v>21</v>
      </c>
      <c r="C15" s="131" t="e">
        <f>الأصل!#REF!/1.16</f>
        <v>#REF!</v>
      </c>
      <c r="D15" s="132">
        <v>0</v>
      </c>
      <c r="E15" s="131" t="e">
        <f>C15</f>
        <v>#REF!</v>
      </c>
      <c r="F15" s="131">
        <f>[6]IRR!I15/1.16</f>
        <v>4621.2084236638284</v>
      </c>
      <c r="G15" s="131">
        <f>'[6]Assets to be Leased'!L9/1.16</f>
        <v>390413.66496768134</v>
      </c>
      <c r="H15" s="131">
        <f>D23</f>
        <v>0</v>
      </c>
      <c r="I15" s="133" t="e">
        <f t="shared" si="2"/>
        <v>#REF!</v>
      </c>
      <c r="J15" s="133" t="e">
        <f t="shared" si="0"/>
        <v>#REF!</v>
      </c>
      <c r="K15" s="229"/>
      <c r="L15" s="229"/>
      <c r="M15" s="229"/>
      <c r="O15" s="116">
        <f t="shared" si="1"/>
        <v>0</v>
      </c>
      <c r="P15" s="78">
        <v>42339</v>
      </c>
      <c r="Q15" s="91"/>
      <c r="R15" s="92"/>
      <c r="S15" s="91"/>
      <c r="T15" s="92"/>
      <c r="U15" s="93"/>
      <c r="V15" s="85"/>
      <c r="W15" s="116">
        <f t="shared" si="3"/>
        <v>0</v>
      </c>
      <c r="X15" s="78">
        <v>42339</v>
      </c>
      <c r="Y15" s="104"/>
      <c r="Z15" s="105"/>
      <c r="AA15" s="104"/>
      <c r="AB15" s="105"/>
      <c r="AC15" s="105"/>
      <c r="AE15" s="116">
        <f t="shared" si="4"/>
        <v>0</v>
      </c>
      <c r="AF15" s="78">
        <v>42339</v>
      </c>
      <c r="AG15" s="104"/>
      <c r="AH15" s="105"/>
      <c r="AI15" s="104"/>
      <c r="AJ15" s="105"/>
      <c r="AK15" s="105"/>
      <c r="AM15" s="116">
        <f t="shared" si="5"/>
        <v>0</v>
      </c>
      <c r="AN15" s="78">
        <v>42339</v>
      </c>
      <c r="AO15" s="104"/>
      <c r="AP15" s="105"/>
      <c r="AQ15" s="104"/>
      <c r="AR15" s="105"/>
      <c r="AS15" s="105"/>
      <c r="AU15" s="116">
        <f t="shared" si="6"/>
        <v>0</v>
      </c>
      <c r="AV15" s="78">
        <v>42339</v>
      </c>
      <c r="AW15" s="104"/>
      <c r="AX15" s="105"/>
      <c r="AY15" s="104"/>
      <c r="AZ15" s="105"/>
      <c r="BA15" s="105"/>
      <c r="BC15" s="116">
        <f t="shared" si="7"/>
        <v>0</v>
      </c>
      <c r="BD15" s="78">
        <v>42339</v>
      </c>
      <c r="BE15" s="104"/>
      <c r="BF15" s="105"/>
      <c r="BG15" s="104"/>
      <c r="BH15" s="105"/>
      <c r="BI15" s="105"/>
      <c r="BK15" s="116">
        <f t="shared" si="8"/>
        <v>0</v>
      </c>
      <c r="BL15" s="78">
        <v>42339</v>
      </c>
      <c r="BM15" s="104"/>
      <c r="BN15" s="105"/>
      <c r="BO15" s="104"/>
      <c r="BP15" s="105"/>
      <c r="BQ15" s="105"/>
      <c r="BS15" s="116">
        <f t="shared" si="9"/>
        <v>0</v>
      </c>
      <c r="BT15" s="78">
        <v>42339</v>
      </c>
      <c r="BU15" s="104"/>
      <c r="BV15" s="105"/>
      <c r="BW15" s="104"/>
      <c r="BX15" s="105"/>
      <c r="BY15" s="105"/>
      <c r="CA15" s="116">
        <f t="shared" si="10"/>
        <v>0</v>
      </c>
      <c r="CB15" s="78">
        <v>42339</v>
      </c>
      <c r="CC15" s="104"/>
      <c r="CD15" s="105"/>
      <c r="CE15" s="104"/>
      <c r="CF15" s="105"/>
      <c r="CG15" s="105"/>
      <c r="CI15" s="116">
        <f t="shared" si="11"/>
        <v>0</v>
      </c>
      <c r="CJ15" s="78">
        <v>42339</v>
      </c>
      <c r="CK15" s="104"/>
      <c r="CL15" s="105"/>
      <c r="CM15" s="104"/>
      <c r="CN15" s="105"/>
      <c r="CO15" s="105"/>
      <c r="CQ15" s="116">
        <f t="shared" si="12"/>
        <v>0</v>
      </c>
      <c r="CR15" s="78">
        <v>42339</v>
      </c>
      <c r="CS15" s="104"/>
      <c r="CT15" s="105"/>
      <c r="CU15" s="104"/>
      <c r="CV15" s="105"/>
      <c r="CW15" s="105"/>
      <c r="CZ15" s="78">
        <v>42309</v>
      </c>
      <c r="DA15" s="142">
        <f>IF(DO14&gt;=DA14,0,U14*(1+'[6]Assets to be Leased'!$B$9))</f>
        <v>0</v>
      </c>
      <c r="DB15" s="143">
        <f>IF(DO14&gt;=DB14,0,AC14*(1+'[6]Assets to be Leased'!$B$9))</f>
        <v>0</v>
      </c>
      <c r="DC15" s="143">
        <f>IF(DO14&gt;=DC14,0,AK14*(1+'[6]Assets to be Leased'!$B$9))</f>
        <v>0</v>
      </c>
      <c r="DD15" s="144" t="str">
        <f>IF(AS14="","",AS14*(1+'[6]Assets to be Leased'!$B$9))</f>
        <v/>
      </c>
      <c r="DE15" s="144">
        <f>BA14*(1+'[6]Assets to be Leased'!$B$9)</f>
        <v>0</v>
      </c>
      <c r="DF15" s="144">
        <f>BI14*(1+'[6]Assets to be Leased'!$B$9)</f>
        <v>0</v>
      </c>
      <c r="DG15" s="144">
        <f>BQ14*(1+'[6]Assets to be Leased'!$B$9)</f>
        <v>0</v>
      </c>
      <c r="DH15" s="144">
        <f>BY14*(1+'[6]Assets to be Leased'!$B$9)</f>
        <v>0</v>
      </c>
      <c r="DI15" s="144">
        <f>CG14*(1+'[6]Assets to be Leased'!$B$9)</f>
        <v>0</v>
      </c>
      <c r="DJ15" s="144">
        <f>CO14*(1+'[6]Assets to be Leased'!$B$9)</f>
        <v>0</v>
      </c>
      <c r="DK15" s="153"/>
      <c r="DL15" s="153"/>
      <c r="DM15" s="153"/>
      <c r="DN15" s="78">
        <v>42309</v>
      </c>
      <c r="DO15" s="153"/>
      <c r="DP15" s="104"/>
      <c r="DQ15" s="104"/>
      <c r="DR15" s="104"/>
      <c r="DS15" s="154"/>
    </row>
    <row r="16" spans="2:131">
      <c r="B16" s="129" t="s">
        <v>198</v>
      </c>
      <c r="C16" s="135" t="e">
        <f>SUM(C14:C15)</f>
        <v>#REF!</v>
      </c>
      <c r="D16" s="136"/>
      <c r="E16" s="135" t="e">
        <f>SUM(E14:E15)</f>
        <v>#REF!</v>
      </c>
      <c r="F16" s="135">
        <f>SUMIF(F14:F15,"&gt;0")</f>
        <v>4621.2084236638284</v>
      </c>
      <c r="G16" s="135">
        <f>SUM(G14:G15)</f>
        <v>390413.66496768134</v>
      </c>
      <c r="H16" s="135">
        <f>SUM(H14:H15)</f>
        <v>0</v>
      </c>
      <c r="I16" s="137" t="e">
        <f t="shared" si="2"/>
        <v>#REF!</v>
      </c>
      <c r="J16" s="137" t="e">
        <f t="shared" si="0"/>
        <v>#REF!</v>
      </c>
      <c r="K16" s="230"/>
      <c r="L16" s="230"/>
      <c r="M16" s="230"/>
      <c r="O16" s="138" t="s">
        <v>20</v>
      </c>
      <c r="P16" s="87">
        <v>2015</v>
      </c>
      <c r="Q16" s="98">
        <f>SUM(Q4:Q15)</f>
        <v>0</v>
      </c>
      <c r="R16" s="94">
        <f>SUM(R4:R15)</f>
        <v>0</v>
      </c>
      <c r="S16" s="94">
        <f>SUM(S4:S15)</f>
        <v>0</v>
      </c>
      <c r="T16" s="94">
        <f>SUM(T4:T15)</f>
        <v>0</v>
      </c>
      <c r="U16" s="94">
        <f>U15</f>
        <v>0</v>
      </c>
      <c r="V16" s="101"/>
      <c r="W16" s="138" t="s">
        <v>20</v>
      </c>
      <c r="X16" s="87">
        <v>2015</v>
      </c>
      <c r="Y16" s="106">
        <f>SUM(Y4:Y15)</f>
        <v>0</v>
      </c>
      <c r="Z16" s="107">
        <f>SUM(Z4:Z15)</f>
        <v>0</v>
      </c>
      <c r="AA16" s="107">
        <f>SUM(AA4:AA15)</f>
        <v>0</v>
      </c>
      <c r="AB16" s="107">
        <f>SUM(AB4:AB15)</f>
        <v>0</v>
      </c>
      <c r="AC16" s="107">
        <f>AC15</f>
        <v>0</v>
      </c>
      <c r="AE16" s="138" t="s">
        <v>20</v>
      </c>
      <c r="AF16" s="87">
        <v>2015</v>
      </c>
      <c r="AG16" s="106">
        <f>SUM(AG4:AG15)</f>
        <v>0</v>
      </c>
      <c r="AH16" s="107">
        <f>SUM(AH4:AH15)</f>
        <v>0</v>
      </c>
      <c r="AI16" s="107">
        <f>SUM(AI4:AI15)</f>
        <v>0</v>
      </c>
      <c r="AJ16" s="107">
        <f>SUM(AJ4:AJ15)</f>
        <v>0</v>
      </c>
      <c r="AK16" s="107">
        <f>AK15</f>
        <v>0</v>
      </c>
      <c r="AM16" s="138" t="s">
        <v>20</v>
      </c>
      <c r="AN16" s="87">
        <v>2015</v>
      </c>
      <c r="AO16" s="106">
        <f>SUM(AO4:AO15)</f>
        <v>0</v>
      </c>
      <c r="AP16" s="107">
        <f>SUM(AP4:AP15)</f>
        <v>0</v>
      </c>
      <c r="AQ16" s="107">
        <f>SUM(AQ4:AQ15)</f>
        <v>0</v>
      </c>
      <c r="AR16" s="107">
        <f>SUM(AR4:AR15)</f>
        <v>0</v>
      </c>
      <c r="AS16" s="107">
        <f>AS15</f>
        <v>0</v>
      </c>
      <c r="AU16" s="138" t="s">
        <v>20</v>
      </c>
      <c r="AV16" s="87">
        <v>2015</v>
      </c>
      <c r="AW16" s="106">
        <f>SUM(AW4:AW15)</f>
        <v>0</v>
      </c>
      <c r="AX16" s="107">
        <f>SUM(AX4:AX15)</f>
        <v>0</v>
      </c>
      <c r="AY16" s="107">
        <f>SUM(AY4:AY15)</f>
        <v>0</v>
      </c>
      <c r="AZ16" s="107">
        <f>SUM(AZ4:AZ15)</f>
        <v>0</v>
      </c>
      <c r="BA16" s="107">
        <f>BA15</f>
        <v>0</v>
      </c>
      <c r="BC16" s="138" t="s">
        <v>20</v>
      </c>
      <c r="BD16" s="87">
        <v>2015</v>
      </c>
      <c r="BE16" s="106">
        <f>SUM(BE4:BE15)</f>
        <v>0</v>
      </c>
      <c r="BF16" s="107">
        <f>SUM(BF4:BF15)</f>
        <v>0</v>
      </c>
      <c r="BG16" s="107">
        <f>SUM(BG4:BG15)</f>
        <v>0</v>
      </c>
      <c r="BH16" s="107">
        <f>SUM(BH4:BH15)</f>
        <v>0</v>
      </c>
      <c r="BI16" s="107">
        <f>BI15</f>
        <v>0</v>
      </c>
      <c r="BK16" s="138" t="s">
        <v>20</v>
      </c>
      <c r="BL16" s="87">
        <v>2015</v>
      </c>
      <c r="BM16" s="106">
        <f>SUM(BM4:BM15)</f>
        <v>0</v>
      </c>
      <c r="BN16" s="107">
        <f>SUM(BN4:BN15)</f>
        <v>0</v>
      </c>
      <c r="BO16" s="107">
        <f>SUM(BO4:BO15)</f>
        <v>0</v>
      </c>
      <c r="BP16" s="107">
        <f>SUM(BP4:BP15)</f>
        <v>0</v>
      </c>
      <c r="BQ16" s="107">
        <f>BQ15</f>
        <v>0</v>
      </c>
      <c r="BS16" s="138" t="s">
        <v>20</v>
      </c>
      <c r="BT16" s="87">
        <v>2015</v>
      </c>
      <c r="BU16" s="106">
        <f>SUM(BU4:BU15)</f>
        <v>0</v>
      </c>
      <c r="BV16" s="107">
        <f>SUM(BV4:BV15)</f>
        <v>0</v>
      </c>
      <c r="BW16" s="107">
        <f>SUM(BW4:BW15)</f>
        <v>0</v>
      </c>
      <c r="BX16" s="107">
        <f>SUM(BX4:BX15)</f>
        <v>0</v>
      </c>
      <c r="BY16" s="107">
        <f>BY15</f>
        <v>0</v>
      </c>
      <c r="CA16" s="138" t="s">
        <v>20</v>
      </c>
      <c r="CB16" s="87">
        <v>2015</v>
      </c>
      <c r="CC16" s="106">
        <f>SUM(CC4:CC15)</f>
        <v>0</v>
      </c>
      <c r="CD16" s="107">
        <f>SUM(CD4:CD15)</f>
        <v>0</v>
      </c>
      <c r="CE16" s="107">
        <f>SUM(CE4:CE15)</f>
        <v>0</v>
      </c>
      <c r="CF16" s="107">
        <f>SUM(CF4:CF15)</f>
        <v>0</v>
      </c>
      <c r="CG16" s="107">
        <f>CG15</f>
        <v>0</v>
      </c>
      <c r="CI16" s="138" t="s">
        <v>20</v>
      </c>
      <c r="CJ16" s="87">
        <v>2015</v>
      </c>
      <c r="CK16" s="106">
        <f>SUM(CK4:CK15)</f>
        <v>0</v>
      </c>
      <c r="CL16" s="107">
        <f>SUM(CL4:CL15)</f>
        <v>0</v>
      </c>
      <c r="CM16" s="107">
        <f>SUM(CM4:CM15)</f>
        <v>0</v>
      </c>
      <c r="CN16" s="107">
        <f>SUM(CN4:CN15)</f>
        <v>0</v>
      </c>
      <c r="CO16" s="107">
        <f>CO15</f>
        <v>0</v>
      </c>
      <c r="CQ16" s="138" t="s">
        <v>20</v>
      </c>
      <c r="CR16" s="87">
        <v>2015</v>
      </c>
      <c r="CS16" s="106">
        <f>SUM(CS4:CS15)</f>
        <v>0</v>
      </c>
      <c r="CT16" s="107">
        <f>SUM(CT4:CT15)</f>
        <v>0</v>
      </c>
      <c r="CU16" s="107">
        <f>SUM(CU4:CU15)</f>
        <v>0</v>
      </c>
      <c r="CV16" s="107">
        <f>SUM(CV4:CV15)</f>
        <v>0</v>
      </c>
      <c r="CW16" s="107">
        <f>CW15</f>
        <v>0</v>
      </c>
      <c r="CZ16" s="78">
        <v>42339</v>
      </c>
      <c r="DA16" s="142">
        <f>IF(DO15&gt;=DA15,0,U15*(1+'[6]Assets to be Leased'!$B$9))</f>
        <v>0</v>
      </c>
      <c r="DB16" s="143">
        <f>IF(DO15&gt;=DB15,0,AC15*(1+'[6]Assets to be Leased'!$B$9))</f>
        <v>0</v>
      </c>
      <c r="DC16" s="143">
        <f>IF(DO15&gt;=DC15,0,AK15*(1+'[6]Assets to be Leased'!$B$9))</f>
        <v>0</v>
      </c>
      <c r="DD16" s="144" t="str">
        <f>IF(AS15="","",AS15*(1+'[6]Assets to be Leased'!$B$9))</f>
        <v/>
      </c>
      <c r="DE16" s="144">
        <f>BA15*(1+'[6]Assets to be Leased'!$B$9)</f>
        <v>0</v>
      </c>
      <c r="DF16" s="144">
        <f>BI15*(1+'[6]Assets to be Leased'!$B$9)</f>
        <v>0</v>
      </c>
      <c r="DG16" s="144">
        <f>BQ15*(1+'[6]Assets to be Leased'!$B$9)</f>
        <v>0</v>
      </c>
      <c r="DH16" s="144">
        <f>BY15*(1+'[6]Assets to be Leased'!$B$9)</f>
        <v>0</v>
      </c>
      <c r="DI16" s="144">
        <f>CG15*(1+'[6]Assets to be Leased'!$B$9)</f>
        <v>0</v>
      </c>
      <c r="DJ16" s="144">
        <f>CO15*(1+'[6]Assets to be Leased'!$B$9)</f>
        <v>0</v>
      </c>
      <c r="DK16" s="153"/>
      <c r="DL16" s="153"/>
      <c r="DM16" s="153"/>
      <c r="DN16" s="78">
        <v>42339</v>
      </c>
      <c r="DO16" s="153"/>
      <c r="DP16" s="104"/>
      <c r="DQ16" s="104"/>
      <c r="DR16" s="104"/>
      <c r="DS16" s="154"/>
      <c r="EA16" t="s">
        <v>94</v>
      </c>
    </row>
    <row r="17" spans="1:134" ht="15" customHeight="1">
      <c r="B17" s="60"/>
      <c r="O17" s="116">
        <f>IF(AND(Q17&gt;0,O15&gt;=0),O15+1,0)</f>
        <v>0</v>
      </c>
      <c r="P17" s="78">
        <v>42370</v>
      </c>
      <c r="Q17" s="95"/>
      <c r="R17" s="80"/>
      <c r="S17" s="95"/>
      <c r="T17" s="80"/>
      <c r="U17" s="80"/>
      <c r="V17" s="86"/>
      <c r="W17" s="116">
        <f>IF(AND(Y17&gt;0,W15&gt;=0),W15+1,0)</f>
        <v>0</v>
      </c>
      <c r="X17" s="78">
        <v>42370</v>
      </c>
      <c r="Y17" s="104"/>
      <c r="Z17" s="105"/>
      <c r="AA17" s="104"/>
      <c r="AB17" s="105"/>
      <c r="AC17" s="108"/>
      <c r="AE17" s="116">
        <f>IF(AND(AG17&gt;0,AE15&gt;=0),AE15+1,0)</f>
        <v>0</v>
      </c>
      <c r="AF17" s="78">
        <v>42370</v>
      </c>
      <c r="AG17" s="3"/>
      <c r="AH17" s="5"/>
      <c r="AI17" s="68"/>
      <c r="AJ17" s="6"/>
      <c r="AK17" s="69"/>
      <c r="AM17" s="116">
        <f>IF(AND(AO17&gt;0,AM15&gt;=0),AM15+1,0)</f>
        <v>0</v>
      </c>
      <c r="AN17" s="78">
        <v>42370</v>
      </c>
      <c r="AO17" s="3"/>
      <c r="AP17" s="5"/>
      <c r="AQ17" s="68"/>
      <c r="AR17" s="6"/>
      <c r="AS17" s="69"/>
      <c r="AU17" s="116">
        <f>IF(AND(AW17&gt;0,AU15&gt;=0),AU15+1,0)</f>
        <v>0</v>
      </c>
      <c r="AV17" s="78">
        <v>42370</v>
      </c>
      <c r="AW17" s="3"/>
      <c r="AX17" s="5"/>
      <c r="AY17" s="68"/>
      <c r="AZ17" s="6"/>
      <c r="BA17" s="69"/>
      <c r="BC17" s="116">
        <f>IF(AND(BE17&gt;0,BC15&gt;=0),BC15+1,0)</f>
        <v>0</v>
      </c>
      <c r="BD17" s="78">
        <v>42370</v>
      </c>
      <c r="BE17" s="3"/>
      <c r="BF17" s="5"/>
      <c r="BG17" s="68"/>
      <c r="BH17" s="6"/>
      <c r="BI17" s="69"/>
      <c r="BK17" s="116">
        <f>IF(AND(BM17&gt;0,BK15&gt;=0),BK15+1,0)</f>
        <v>0</v>
      </c>
      <c r="BL17" s="78">
        <v>42370</v>
      </c>
      <c r="BM17" s="3"/>
      <c r="BN17" s="5"/>
      <c r="BO17" s="68"/>
      <c r="BP17" s="6"/>
      <c r="BQ17" s="69"/>
      <c r="BS17" s="116">
        <f>IF(AND(BU17&gt;0,BS15&gt;=0),BS15+1,0)</f>
        <v>0</v>
      </c>
      <c r="BT17" s="78">
        <v>42370</v>
      </c>
      <c r="BU17" s="3"/>
      <c r="BV17" s="5"/>
      <c r="BW17" s="68"/>
      <c r="BX17" s="6"/>
      <c r="BY17" s="69"/>
      <c r="CA17" s="116">
        <f>IF(AND(CC17&gt;0,CA15&gt;=0),CA15+1,0)</f>
        <v>0</v>
      </c>
      <c r="CB17" s="78">
        <v>42370</v>
      </c>
      <c r="CC17" s="3"/>
      <c r="CD17" s="5"/>
      <c r="CE17" s="68"/>
      <c r="CF17" s="6"/>
      <c r="CG17" s="69"/>
      <c r="CI17" s="116">
        <f>IF(AND(CK17&gt;0,CI15&gt;=0),CI15+1,0)</f>
        <v>0</v>
      </c>
      <c r="CJ17" s="78">
        <v>42370</v>
      </c>
      <c r="CK17" s="3"/>
      <c r="CL17" s="5"/>
      <c r="CM17" s="68"/>
      <c r="CN17" s="6"/>
      <c r="CO17" s="69"/>
      <c r="CQ17" s="116">
        <f>IF(AND(CS17&gt;0,CQ15&gt;=0),CQ15+1,0)</f>
        <v>0</v>
      </c>
      <c r="CR17" s="78">
        <v>42370</v>
      </c>
      <c r="CS17" s="3"/>
      <c r="CT17" s="5">
        <f>CS17/(1+'[6]Assets to be Leased'!$B$9)</f>
        <v>0</v>
      </c>
      <c r="CU17" s="68">
        <f>CS17-CV17</f>
        <v>0</v>
      </c>
      <c r="CV17" s="6"/>
      <c r="CW17" s="69"/>
      <c r="CZ17" s="155">
        <v>2015</v>
      </c>
      <c r="DA17" s="142">
        <f>IF(DO16&gt;=DA16,0,U16*(1+'[6]Assets to be Leased'!$B$9))</f>
        <v>0</v>
      </c>
      <c r="DB17" s="143">
        <f>IF(DO16&gt;=DB16,0,AC16*(1+'[6]Assets to be Leased'!$B$9))</f>
        <v>0</v>
      </c>
      <c r="DC17" s="143">
        <f>IF(DO16&gt;=DC16,0,AK16*(1+'[6]Assets to be Leased'!$B$9))</f>
        <v>0</v>
      </c>
      <c r="DD17" s="144">
        <f>IF(AS16="","",AS16*(1+'[6]Assets to be Leased'!$B$9))</f>
        <v>0</v>
      </c>
      <c r="DE17" s="144">
        <f>BA16*(1+'[6]Assets to be Leased'!$B$9)</f>
        <v>0</v>
      </c>
      <c r="DF17" s="144">
        <f>BI16*(1+'[6]Assets to be Leased'!$B$9)</f>
        <v>0</v>
      </c>
      <c r="DG17" s="144">
        <f>BQ16*(1+'[6]Assets to be Leased'!$B$9)</f>
        <v>0</v>
      </c>
      <c r="DH17" s="144">
        <f>BY16*(1+'[6]Assets to be Leased'!$B$9)</f>
        <v>0</v>
      </c>
      <c r="DI17" s="144">
        <f>CG16*(1+'[6]Assets to be Leased'!$B$9)</f>
        <v>0</v>
      </c>
      <c r="DJ17" s="144">
        <f>CO16*(1+'[6]Assets to be Leased'!$B$9)</f>
        <v>0</v>
      </c>
      <c r="DK17" s="156"/>
      <c r="DL17" s="156"/>
      <c r="DM17" s="156"/>
      <c r="DN17" s="155">
        <v>2015</v>
      </c>
      <c r="DO17" s="157"/>
      <c r="DP17" s="158"/>
      <c r="DQ17" s="158"/>
      <c r="DR17" s="158"/>
      <c r="DS17" s="159"/>
      <c r="DU17" s="1772" t="s">
        <v>95</v>
      </c>
      <c r="DV17" s="1773"/>
      <c r="DW17" s="1773"/>
      <c r="DX17" s="1773"/>
      <c r="DY17" s="1773"/>
      <c r="DZ17" s="1774"/>
      <c r="EA17" s="160"/>
      <c r="EB17" s="160"/>
      <c r="EC17" s="160"/>
    </row>
    <row r="18" spans="1:134">
      <c r="O18" s="116">
        <f t="shared" ref="O18:O28" si="13">IF(AND(Q18&gt;0,O17&gt;=0),O17+1,0)</f>
        <v>0</v>
      </c>
      <c r="P18" s="78">
        <v>42401</v>
      </c>
      <c r="Q18" s="95"/>
      <c r="R18" s="80"/>
      <c r="S18" s="95"/>
      <c r="T18" s="80"/>
      <c r="U18" s="80"/>
      <c r="V18" s="86"/>
      <c r="W18" s="116">
        <f t="shared" ref="W18:W28" si="14">IF(AND(Y18&gt;0,W17&gt;=0),W17+1,0)</f>
        <v>0</v>
      </c>
      <c r="X18" s="78">
        <v>42401</v>
      </c>
      <c r="Y18" s="104"/>
      <c r="Z18" s="105"/>
      <c r="AA18" s="104"/>
      <c r="AB18" s="105"/>
      <c r="AC18" s="105"/>
      <c r="AE18" s="116">
        <f t="shared" ref="AE18:AE28" si="15">IF(AND(AG18&gt;0,AE17&gt;=0),AE17+1,0)</f>
        <v>0</v>
      </c>
      <c r="AF18" s="78">
        <v>42401</v>
      </c>
      <c r="AG18" s="3"/>
      <c r="AH18" s="5"/>
      <c r="AI18" s="68"/>
      <c r="AJ18" s="6"/>
      <c r="AK18" s="6"/>
      <c r="AM18" s="116">
        <f t="shared" ref="AM18:AM28" si="16">IF(AND(AO18&gt;0,AM17&gt;=0),AM17+1,0)</f>
        <v>0</v>
      </c>
      <c r="AN18" s="78">
        <v>42401</v>
      </c>
      <c r="AO18" s="3"/>
      <c r="AP18" s="5"/>
      <c r="AQ18" s="68"/>
      <c r="AR18" s="6"/>
      <c r="AS18" s="6"/>
      <c r="AU18" s="116">
        <f t="shared" ref="AU18:AU28" si="17">IF(AND(AW18&gt;0,AU17&gt;=0),AU17+1,0)</f>
        <v>0</v>
      </c>
      <c r="AV18" s="78">
        <v>42401</v>
      </c>
      <c r="AW18" s="3"/>
      <c r="AX18" s="5"/>
      <c r="AY18" s="68"/>
      <c r="AZ18" s="6"/>
      <c r="BA18" s="6"/>
      <c r="BC18" s="116">
        <f t="shared" ref="BC18:BC28" si="18">IF(AND(BE18&gt;0,BC17&gt;=0),BC17+1,0)</f>
        <v>0</v>
      </c>
      <c r="BD18" s="78">
        <v>42401</v>
      </c>
      <c r="BE18" s="3"/>
      <c r="BF18" s="5"/>
      <c r="BG18" s="68"/>
      <c r="BH18" s="6"/>
      <c r="BI18" s="6"/>
      <c r="BK18" s="116">
        <f t="shared" ref="BK18:BK28" si="19">IF(AND(BM18&gt;0,BK17&gt;=0),BK17+1,0)</f>
        <v>0</v>
      </c>
      <c r="BL18" s="78">
        <v>42401</v>
      </c>
      <c r="BM18" s="3"/>
      <c r="BN18" s="5"/>
      <c r="BO18" s="68"/>
      <c r="BP18" s="6"/>
      <c r="BQ18" s="6"/>
      <c r="BS18" s="116">
        <f t="shared" ref="BS18:BS28" si="20">IF(AND(BU18&gt;0,BS17&gt;=0),BS17+1,0)</f>
        <v>0</v>
      </c>
      <c r="BT18" s="78">
        <v>42401</v>
      </c>
      <c r="BU18" s="3"/>
      <c r="BV18" s="5"/>
      <c r="BW18" s="68"/>
      <c r="BX18" s="6"/>
      <c r="BY18" s="6"/>
      <c r="CA18" s="116">
        <f t="shared" ref="CA18:CA28" si="21">IF(AND(CC18&gt;0,CA17&gt;=0),CA17+1,0)</f>
        <v>0</v>
      </c>
      <c r="CB18" s="78">
        <v>42401</v>
      </c>
      <c r="CC18" s="3"/>
      <c r="CD18" s="5"/>
      <c r="CE18" s="68"/>
      <c r="CF18" s="6"/>
      <c r="CG18" s="6"/>
      <c r="CI18" s="116">
        <f t="shared" ref="CI18:CI28" si="22">IF(AND(CK18&gt;0,CI17&gt;=0),CI17+1,0)</f>
        <v>0</v>
      </c>
      <c r="CJ18" s="78">
        <v>42401</v>
      </c>
      <c r="CK18" s="3"/>
      <c r="CL18" s="5"/>
      <c r="CM18" s="68"/>
      <c r="CN18" s="6"/>
      <c r="CO18" s="6"/>
      <c r="CQ18" s="116">
        <f t="shared" ref="CQ18:CQ28" si="23">IF(AND(CS18&gt;0,CQ17&gt;=0),CQ17+1,0)</f>
        <v>0</v>
      </c>
      <c r="CR18" s="78">
        <v>42401</v>
      </c>
      <c r="CS18" s="3"/>
      <c r="CT18" s="5">
        <f>CS18/(1+'[6]Assets to be Leased'!$B$9)</f>
        <v>0</v>
      </c>
      <c r="CU18" s="68">
        <f t="shared" ref="CU18:CU28" si="24">CS18-CV18</f>
        <v>0</v>
      </c>
      <c r="CV18" s="6"/>
      <c r="CW18" s="6"/>
      <c r="CZ18" s="78">
        <v>42370</v>
      </c>
      <c r="DA18" s="142">
        <f>IF(DO17&gt;=DA17,0,U17*(1+'[6]Assets to be Leased'!$B$9))</f>
        <v>0</v>
      </c>
      <c r="DB18" s="143">
        <f>IF(DO17&gt;=DB17,0,AC17*(1+'[6]Assets to be Leased'!$B$9))</f>
        <v>0</v>
      </c>
      <c r="DC18" s="143">
        <f>IF(DO17&gt;=DC17,0,AK17*(1+'[6]Assets to be Leased'!$B$9))</f>
        <v>0</v>
      </c>
      <c r="DD18" s="144" t="str">
        <f>IF(AS17="","",AS17*(1+'[6]Assets to be Leased'!$B$9))</f>
        <v/>
      </c>
      <c r="DE18" s="144">
        <f>BA17*(1+'[6]Assets to be Leased'!$B$9)</f>
        <v>0</v>
      </c>
      <c r="DF18" s="144">
        <f>BI17*(1+'[6]Assets to be Leased'!$B$9)</f>
        <v>0</v>
      </c>
      <c r="DG18" s="144">
        <f>BQ17*(1+'[6]Assets to be Leased'!$B$9)</f>
        <v>0</v>
      </c>
      <c r="DH18" s="144">
        <f>BY17*(1+'[6]Assets to be Leased'!$B$9)</f>
        <v>0</v>
      </c>
      <c r="DI18" s="144">
        <f>CG17*(1+'[6]Assets to be Leased'!$B$9)</f>
        <v>0</v>
      </c>
      <c r="DJ18" s="144">
        <f>CO17*(1+'[6]Assets to be Leased'!$B$9)</f>
        <v>0</v>
      </c>
      <c r="DK18" s="1"/>
      <c r="DL18" s="1"/>
      <c r="DM18" s="161">
        <f t="array" ref="DM18">IFERROR(SMALL(IF(DA18:DC18&gt;0,DA18:DC18),1),0)</f>
        <v>0</v>
      </c>
      <c r="DN18" s="78">
        <v>42370</v>
      </c>
      <c r="DO18" s="162"/>
      <c r="DP18" s="163"/>
      <c r="DQ18" s="163"/>
      <c r="DR18" s="163"/>
      <c r="DS18" s="164"/>
      <c r="DU18" s="1775"/>
      <c r="DV18" s="1776"/>
      <c r="DW18" s="1776"/>
      <c r="DX18" s="1776"/>
      <c r="DY18" s="1776"/>
      <c r="DZ18" s="1777"/>
      <c r="EA18" s="165"/>
      <c r="EB18" s="165"/>
      <c r="EC18" s="166"/>
    </row>
    <row r="19" spans="1:134">
      <c r="B19" s="167" t="s">
        <v>42</v>
      </c>
      <c r="C19" s="168" t="s">
        <v>60</v>
      </c>
      <c r="D19" s="168" t="s">
        <v>59</v>
      </c>
      <c r="O19" s="116">
        <f t="shared" si="13"/>
        <v>0</v>
      </c>
      <c r="P19" s="78">
        <v>42430</v>
      </c>
      <c r="Q19" s="95"/>
      <c r="R19" s="80"/>
      <c r="S19" s="95"/>
      <c r="T19" s="80"/>
      <c r="U19" s="80"/>
      <c r="V19" s="86"/>
      <c r="W19" s="116">
        <f t="shared" si="14"/>
        <v>0</v>
      </c>
      <c r="X19" s="78">
        <v>42430</v>
      </c>
      <c r="Y19" s="104"/>
      <c r="Z19" s="105"/>
      <c r="AA19" s="104"/>
      <c r="AB19" s="105"/>
      <c r="AC19" s="105"/>
      <c r="AE19" s="116">
        <f t="shared" si="15"/>
        <v>0</v>
      </c>
      <c r="AF19" s="78">
        <v>42430</v>
      </c>
      <c r="AG19" s="3"/>
      <c r="AH19" s="5"/>
      <c r="AI19" s="68"/>
      <c r="AJ19" s="6"/>
      <c r="AK19" s="6"/>
      <c r="AM19" s="116">
        <f t="shared" si="16"/>
        <v>0</v>
      </c>
      <c r="AN19" s="78">
        <v>42430</v>
      </c>
      <c r="AO19" s="3"/>
      <c r="AP19" s="5"/>
      <c r="AQ19" s="68"/>
      <c r="AR19" s="6"/>
      <c r="AS19" s="6"/>
      <c r="AU19" s="116">
        <f t="shared" si="17"/>
        <v>0</v>
      </c>
      <c r="AV19" s="78">
        <v>42430</v>
      </c>
      <c r="AW19" s="3"/>
      <c r="AX19" s="5"/>
      <c r="AY19" s="68"/>
      <c r="AZ19" s="6"/>
      <c r="BA19" s="6"/>
      <c r="BC19" s="116">
        <f t="shared" si="18"/>
        <v>0</v>
      </c>
      <c r="BD19" s="78">
        <v>42430</v>
      </c>
      <c r="BE19" s="3"/>
      <c r="BF19" s="5"/>
      <c r="BG19" s="68"/>
      <c r="BH19" s="6"/>
      <c r="BI19" s="6"/>
      <c r="BK19" s="116">
        <f t="shared" si="19"/>
        <v>0</v>
      </c>
      <c r="BL19" s="78">
        <v>42430</v>
      </c>
      <c r="BM19" s="3"/>
      <c r="BN19" s="5"/>
      <c r="BO19" s="68"/>
      <c r="BP19" s="6"/>
      <c r="BQ19" s="6"/>
      <c r="BS19" s="116">
        <f t="shared" si="20"/>
        <v>0</v>
      </c>
      <c r="BT19" s="78">
        <v>42430</v>
      </c>
      <c r="BU19" s="3"/>
      <c r="BV19" s="5"/>
      <c r="BW19" s="68"/>
      <c r="BX19" s="6"/>
      <c r="BY19" s="6"/>
      <c r="CA19" s="116">
        <f t="shared" si="21"/>
        <v>0</v>
      </c>
      <c r="CB19" s="78">
        <v>42430</v>
      </c>
      <c r="CC19" s="3"/>
      <c r="CD19" s="5"/>
      <c r="CE19" s="68"/>
      <c r="CF19" s="6"/>
      <c r="CG19" s="6"/>
      <c r="CI19" s="116">
        <f t="shared" si="22"/>
        <v>0</v>
      </c>
      <c r="CJ19" s="78">
        <v>42430</v>
      </c>
      <c r="CK19" s="3"/>
      <c r="CL19" s="5"/>
      <c r="CM19" s="68"/>
      <c r="CN19" s="6"/>
      <c r="CO19" s="6"/>
      <c r="CQ19" s="116">
        <f t="shared" si="23"/>
        <v>0</v>
      </c>
      <c r="CR19" s="78">
        <v>42430</v>
      </c>
      <c r="CS19" s="3"/>
      <c r="CT19" s="5">
        <f>CS19/(1+'[6]Assets to be Leased'!$B$9)</f>
        <v>0</v>
      </c>
      <c r="CU19" s="68">
        <f t="shared" si="24"/>
        <v>0</v>
      </c>
      <c r="CV19" s="6"/>
      <c r="CW19" s="231">
        <f>[6]IRR!AP14/(1+'[6]Assets to be Leased'!$B$9)</f>
        <v>212459.5845553689</v>
      </c>
      <c r="CZ19" s="78">
        <v>42401</v>
      </c>
      <c r="DA19" s="142">
        <f>IF(DO18&gt;=DA18,0,U18*(1+'[6]Assets to be Leased'!$B$9))</f>
        <v>0</v>
      </c>
      <c r="DB19" s="143">
        <f>IF(DO18&gt;=DB18,0,AC18*(1+'[6]Assets to be Leased'!$B$9))</f>
        <v>0</v>
      </c>
      <c r="DC19" s="143">
        <f>IF(DO18&gt;=DC18,0,AK18*(1+'[6]Assets to be Leased'!$B$9))</f>
        <v>0</v>
      </c>
      <c r="DD19" s="144" t="str">
        <f>IF(AS18="","",AS18*(1+'[6]Assets to be Leased'!$B$9))</f>
        <v/>
      </c>
      <c r="DE19" s="144">
        <f>BA18*(1+'[6]Assets to be Leased'!$B$9)</f>
        <v>0</v>
      </c>
      <c r="DF19" s="144">
        <f>BI18*(1+'[6]Assets to be Leased'!$B$9)</f>
        <v>0</v>
      </c>
      <c r="DG19" s="144">
        <f>BQ18*(1+'[6]Assets to be Leased'!$B$9)</f>
        <v>0</v>
      </c>
      <c r="DH19" s="144">
        <f>BY18*(1+'[6]Assets to be Leased'!$B$9)</f>
        <v>0</v>
      </c>
      <c r="DI19" s="144">
        <f>CG18*(1+'[6]Assets to be Leased'!$B$9)</f>
        <v>0</v>
      </c>
      <c r="DJ19" s="144">
        <f>CO18*(1+'[6]Assets to be Leased'!$B$9)</f>
        <v>0</v>
      </c>
      <c r="DK19" s="1"/>
      <c r="DL19" s="1"/>
      <c r="DM19" s="161">
        <f t="array" ref="DM19">IFERROR(SMALL(IF(DA19:DC19&gt;0,DA19:DC19),1),0)</f>
        <v>0</v>
      </c>
      <c r="DN19" s="78">
        <v>42401</v>
      </c>
      <c r="DO19" s="169"/>
      <c r="DP19" s="68"/>
      <c r="DQ19" s="68">
        <v>0</v>
      </c>
      <c r="DR19" s="68">
        <f t="shared" ref="DR19:DR25" si="25">SUM(DP19:DQ19)</f>
        <v>0</v>
      </c>
      <c r="DS19" s="170">
        <v>0</v>
      </c>
      <c r="DU19" s="1766" t="s">
        <v>15</v>
      </c>
      <c r="DV19" s="1767"/>
      <c r="DW19" s="171">
        <f>VLOOKUP(DW20,$DL$20:$DN$82,3,FALSE)</f>
        <v>42430</v>
      </c>
      <c r="DX19" s="171">
        <f t="shared" ref="DX19:EC19" si="26">VLOOKUP(DX20,$DL$20:$DN$82,3,FALSE)</f>
        <v>42795</v>
      </c>
      <c r="DY19" s="171">
        <f t="shared" si="26"/>
        <v>42887</v>
      </c>
      <c r="DZ19" s="172"/>
      <c r="EA19" s="172"/>
      <c r="EB19" s="171"/>
      <c r="EC19" s="171">
        <f t="shared" si="26"/>
        <v>43009</v>
      </c>
    </row>
    <row r="20" spans="1:134">
      <c r="B20" s="173" t="s">
        <v>56</v>
      </c>
      <c r="C20" s="174"/>
      <c r="D20" s="174">
        <f>C20*jodrate</f>
        <v>0</v>
      </c>
      <c r="G20" s="175"/>
      <c r="H20" s="104"/>
      <c r="O20" s="116">
        <f t="shared" si="13"/>
        <v>0</v>
      </c>
      <c r="P20" s="78">
        <v>42461</v>
      </c>
      <c r="Q20" s="95"/>
      <c r="R20" s="80"/>
      <c r="S20" s="95"/>
      <c r="T20" s="80"/>
      <c r="U20" s="80"/>
      <c r="V20" s="86"/>
      <c r="W20" s="116">
        <f t="shared" si="14"/>
        <v>0</v>
      </c>
      <c r="X20" s="78">
        <v>42461</v>
      </c>
      <c r="Y20" s="104"/>
      <c r="Z20" s="105"/>
      <c r="AA20" s="104"/>
      <c r="AB20" s="105"/>
      <c r="AC20" s="105"/>
      <c r="AE20" s="116">
        <f t="shared" si="15"/>
        <v>0</v>
      </c>
      <c r="AF20" s="78">
        <v>42461</v>
      </c>
      <c r="AG20" s="3"/>
      <c r="AH20" s="5"/>
      <c r="AI20" s="68"/>
      <c r="AJ20" s="6"/>
      <c r="AK20" s="6"/>
      <c r="AM20" s="116">
        <f t="shared" si="16"/>
        <v>0</v>
      </c>
      <c r="AN20" s="78">
        <v>42461</v>
      </c>
      <c r="AO20" s="3"/>
      <c r="AP20" s="5"/>
      <c r="AQ20" s="68"/>
      <c r="AR20" s="6"/>
      <c r="AS20" s="6"/>
      <c r="AU20" s="116">
        <f t="shared" si="17"/>
        <v>0</v>
      </c>
      <c r="AV20" s="78">
        <v>42461</v>
      </c>
      <c r="AW20" s="3"/>
      <c r="AX20" s="5"/>
      <c r="AY20" s="68"/>
      <c r="AZ20" s="6"/>
      <c r="BA20" s="6"/>
      <c r="BC20" s="116">
        <f t="shared" si="18"/>
        <v>0</v>
      </c>
      <c r="BD20" s="78">
        <v>42461</v>
      </c>
      <c r="BE20" s="3"/>
      <c r="BF20" s="5"/>
      <c r="BG20" s="68"/>
      <c r="BH20" s="6"/>
      <c r="BI20" s="6"/>
      <c r="BK20" s="116">
        <f t="shared" si="19"/>
        <v>0</v>
      </c>
      <c r="BL20" s="78">
        <v>42461</v>
      </c>
      <c r="BM20" s="3"/>
      <c r="BN20" s="5"/>
      <c r="BO20" s="68"/>
      <c r="BP20" s="6"/>
      <c r="BQ20" s="6"/>
      <c r="BS20" s="116">
        <f t="shared" si="20"/>
        <v>0</v>
      </c>
      <c r="BT20" s="78">
        <v>42461</v>
      </c>
      <c r="BU20" s="3"/>
      <c r="BV20" s="5"/>
      <c r="BW20" s="68"/>
      <c r="BX20" s="6"/>
      <c r="BY20" s="6"/>
      <c r="CA20" s="116">
        <f t="shared" si="21"/>
        <v>0</v>
      </c>
      <c r="CB20" s="78">
        <v>42461</v>
      </c>
      <c r="CC20" s="3"/>
      <c r="CD20" s="5"/>
      <c r="CE20" s="68"/>
      <c r="CF20" s="6"/>
      <c r="CG20" s="6"/>
      <c r="CI20" s="116">
        <f t="shared" si="22"/>
        <v>0</v>
      </c>
      <c r="CJ20" s="78">
        <v>42461</v>
      </c>
      <c r="CK20" s="3"/>
      <c r="CL20" s="5"/>
      <c r="CM20" s="68"/>
      <c r="CN20" s="6"/>
      <c r="CO20" s="6"/>
      <c r="CQ20" s="116">
        <f t="shared" si="23"/>
        <v>1</v>
      </c>
      <c r="CR20" s="78">
        <v>42461</v>
      </c>
      <c r="CS20" s="3">
        <f>[6]IRR!AL15</f>
        <v>7119.7567446554722</v>
      </c>
      <c r="CT20" s="5">
        <f>CS20/(1+'[6]Assets to be Leased'!$B$9)</f>
        <v>6137.721331599545</v>
      </c>
      <c r="CU20" s="68">
        <f t="shared" si="24"/>
        <v>4891.8327178226928</v>
      </c>
      <c r="CV20" s="6">
        <f>[6]IRR!AO15</f>
        <v>2227.9240268327794</v>
      </c>
      <c r="CW20" s="6">
        <f>[6]IRR!AP15/(1+'[6]Assets to be Leased'!$B$9)</f>
        <v>208242.48738483209</v>
      </c>
      <c r="CZ20" s="78">
        <v>42430</v>
      </c>
      <c r="DA20" s="142">
        <f>IF(DO19&gt;=DA19,0,U19*(1+'[6]Assets to be Leased'!$B$9))</f>
        <v>0</v>
      </c>
      <c r="DB20" s="143">
        <f>IF(DO19&gt;=DB19,0,AC19*(1+'[6]Assets to be Leased'!$B$9))</f>
        <v>0</v>
      </c>
      <c r="DC20" s="143">
        <f>IF(DO19&gt;=DC19,0,AK19*(1+'[6]Assets to be Leased'!$B$9))</f>
        <v>0</v>
      </c>
      <c r="DD20" s="144" t="str">
        <f>IF(AS19="","",AS19*(1+'[6]Assets to be Leased'!$B$9))</f>
        <v/>
      </c>
      <c r="DE20" s="144">
        <f>BA19*(1+'[6]Assets to be Leased'!$B$9)</f>
        <v>0</v>
      </c>
      <c r="DF20" s="144">
        <f>BI19*(1+'[6]Assets to be Leased'!$B$9)</f>
        <v>0</v>
      </c>
      <c r="DG20" s="144">
        <f>BQ19*(1+'[6]Assets to be Leased'!$B$9)</f>
        <v>0</v>
      </c>
      <c r="DH20" s="144">
        <f>BY19*(1+'[6]Assets to be Leased'!$B$9)</f>
        <v>0</v>
      </c>
      <c r="DI20" s="144">
        <f>CG19*(1+'[6]Assets to be Leased'!$B$9)</f>
        <v>0</v>
      </c>
      <c r="DJ20" s="144">
        <f>CO19*(1+'[6]Assets to be Leased'!$B$9)</f>
        <v>0</v>
      </c>
      <c r="DK20" s="176">
        <f>CW19*(1+'بيانات للادخال'!E2)</f>
        <v>246453.1180842279</v>
      </c>
      <c r="DL20" s="176">
        <f t="shared" ref="DL20:DL82" si="27">DA20+DB20+DC20+DK20</f>
        <v>246453.1180842279</v>
      </c>
      <c r="DM20" s="161">
        <f t="array" ref="DM20">IFERROR(SMALL(IF(DA20:DC20&gt;0,DA20:DC20),1),0)</f>
        <v>0</v>
      </c>
      <c r="DN20" s="78">
        <v>42430</v>
      </c>
      <c r="DO20" s="169"/>
      <c r="DP20" s="68"/>
      <c r="DQ20" s="68">
        <v>0</v>
      </c>
      <c r="DR20" s="68">
        <f t="shared" si="25"/>
        <v>0</v>
      </c>
      <c r="DS20" s="170">
        <f t="shared" ref="DS20:DS25" si="28">DS19+DR20-DO20</f>
        <v>0</v>
      </c>
      <c r="DU20" s="1768" t="s">
        <v>96</v>
      </c>
      <c r="DV20" s="1769"/>
      <c r="DW20" s="177">
        <f>DL20</f>
        <v>246453.1180842279</v>
      </c>
      <c r="DX20" s="178">
        <f>DL33</f>
        <v>206490.49155598224</v>
      </c>
      <c r="DY20" s="179">
        <f>DL36</f>
        <v>190588.32049861734</v>
      </c>
      <c r="DZ20" s="180"/>
      <c r="EA20" s="180"/>
      <c r="EB20" s="180"/>
      <c r="EC20" s="181">
        <f>DL40</f>
        <v>168706.43802571588</v>
      </c>
      <c r="ED20" s="182"/>
    </row>
    <row r="21" spans="1:134">
      <c r="B21" s="173" t="s">
        <v>57</v>
      </c>
      <c r="C21" s="174"/>
      <c r="D21" s="174">
        <f>C21*jodrate</f>
        <v>0</v>
      </c>
      <c r="G21" s="175"/>
      <c r="H21" s="104"/>
      <c r="O21" s="116">
        <f t="shared" si="13"/>
        <v>0</v>
      </c>
      <c r="P21" s="78">
        <v>42491</v>
      </c>
      <c r="Q21" s="95"/>
      <c r="R21" s="80"/>
      <c r="S21" s="95"/>
      <c r="T21" s="80"/>
      <c r="U21" s="80"/>
      <c r="V21" s="86"/>
      <c r="W21" s="116">
        <f t="shared" si="14"/>
        <v>0</v>
      </c>
      <c r="X21" s="78">
        <v>42491</v>
      </c>
      <c r="Y21" s="104"/>
      <c r="Z21" s="105"/>
      <c r="AA21" s="104"/>
      <c r="AB21" s="105"/>
      <c r="AC21" s="105"/>
      <c r="AE21" s="116">
        <f t="shared" si="15"/>
        <v>0</v>
      </c>
      <c r="AF21" s="78">
        <v>42491</v>
      </c>
      <c r="AG21" s="3"/>
      <c r="AH21" s="5"/>
      <c r="AI21" s="68"/>
      <c r="AJ21" s="6"/>
      <c r="AK21" s="6"/>
      <c r="AM21" s="116">
        <f t="shared" si="16"/>
        <v>0</v>
      </c>
      <c r="AN21" s="78">
        <v>42491</v>
      </c>
      <c r="AO21" s="3"/>
      <c r="AP21" s="5"/>
      <c r="AQ21" s="68"/>
      <c r="AR21" s="6"/>
      <c r="AS21" s="6"/>
      <c r="AU21" s="116">
        <f t="shared" si="17"/>
        <v>0</v>
      </c>
      <c r="AV21" s="78">
        <v>42491</v>
      </c>
      <c r="AW21" s="3"/>
      <c r="AX21" s="5"/>
      <c r="AY21" s="68"/>
      <c r="AZ21" s="6"/>
      <c r="BA21" s="6"/>
      <c r="BC21" s="116">
        <f t="shared" si="18"/>
        <v>0</v>
      </c>
      <c r="BD21" s="78">
        <v>42491</v>
      </c>
      <c r="BE21" s="3"/>
      <c r="BF21" s="5"/>
      <c r="BG21" s="68"/>
      <c r="BH21" s="6"/>
      <c r="BI21" s="6"/>
      <c r="BK21" s="116">
        <f t="shared" si="19"/>
        <v>0</v>
      </c>
      <c r="BL21" s="78">
        <v>42491</v>
      </c>
      <c r="BM21" s="3"/>
      <c r="BN21" s="5"/>
      <c r="BO21" s="68"/>
      <c r="BP21" s="6"/>
      <c r="BQ21" s="6"/>
      <c r="BS21" s="116">
        <f t="shared" si="20"/>
        <v>0</v>
      </c>
      <c r="BT21" s="78">
        <v>42491</v>
      </c>
      <c r="BU21" s="3"/>
      <c r="BV21" s="5"/>
      <c r="BW21" s="68"/>
      <c r="BX21" s="6"/>
      <c r="BY21" s="6"/>
      <c r="CA21" s="116">
        <f t="shared" si="21"/>
        <v>0</v>
      </c>
      <c r="CB21" s="78">
        <v>42491</v>
      </c>
      <c r="CC21" s="3"/>
      <c r="CD21" s="5"/>
      <c r="CE21" s="68"/>
      <c r="CF21" s="6"/>
      <c r="CG21" s="6"/>
      <c r="CI21" s="116">
        <f t="shared" si="22"/>
        <v>0</v>
      </c>
      <c r="CJ21" s="78">
        <v>42491</v>
      </c>
      <c r="CK21" s="3"/>
      <c r="CL21" s="5"/>
      <c r="CM21" s="68"/>
      <c r="CN21" s="6"/>
      <c r="CO21" s="6"/>
      <c r="CQ21" s="116">
        <f t="shared" si="23"/>
        <v>2</v>
      </c>
      <c r="CR21" s="78">
        <v>42491</v>
      </c>
      <c r="CS21" s="3">
        <f>[6]IRR!AL16</f>
        <v>7119.7567446554722</v>
      </c>
      <c r="CT21" s="5">
        <f>CS21/(1+'[6]Assets to be Leased'!$B$9)</f>
        <v>6137.721331599545</v>
      </c>
      <c r="CU21" s="68">
        <f t="shared" si="24"/>
        <v>4936.0546442158466</v>
      </c>
      <c r="CV21" s="6">
        <f>[6]IRR!AO16</f>
        <v>2183.7021004396261</v>
      </c>
      <c r="CW21" s="6">
        <f>[6]IRR!AP16/(1+'[6]Assets to be Leased'!$B$9)</f>
        <v>203987.26786395637</v>
      </c>
      <c r="CZ21" s="78">
        <v>42461</v>
      </c>
      <c r="DA21" s="142">
        <f>IF(DO20&gt;=DA20,0,U20*(1+'[6]Assets to be Leased'!$B$9))</f>
        <v>0</v>
      </c>
      <c r="DB21" s="143">
        <f>IF(DO20&gt;=DB20,0,AC20*(1+'[6]Assets to be Leased'!$B$9))</f>
        <v>0</v>
      </c>
      <c r="DC21" s="143">
        <f>IF(DO20&gt;=DC20,0,AK20*(1+'[6]Assets to be Leased'!$B$9))</f>
        <v>0</v>
      </c>
      <c r="DD21" s="144" t="str">
        <f>IF(AS20="","",AS20*(1+'[6]Assets to be Leased'!$B$9))</f>
        <v/>
      </c>
      <c r="DE21" s="144">
        <f>BA20*(1+'[6]Assets to be Leased'!$B$9)</f>
        <v>0</v>
      </c>
      <c r="DF21" s="144">
        <f>BI20*(1+'[6]Assets to be Leased'!$B$9)</f>
        <v>0</v>
      </c>
      <c r="DG21" s="144">
        <f>BQ20*(1+'[6]Assets to be Leased'!$B$9)</f>
        <v>0</v>
      </c>
      <c r="DH21" s="144">
        <f>BY20*(1+'[6]Assets to be Leased'!$B$9)</f>
        <v>0</v>
      </c>
      <c r="DI21" s="144">
        <f>CG20*(1+'[6]Assets to be Leased'!$B$9)</f>
        <v>0</v>
      </c>
      <c r="DJ21" s="144">
        <f>CO20*(1+'[6]Assets to be Leased'!$B$9)</f>
        <v>0</v>
      </c>
      <c r="DK21" s="176">
        <f>CW20*(1+'[6]Assets to be Leased'!$B$9)</f>
        <v>241561.28536640521</v>
      </c>
      <c r="DL21" s="176">
        <f t="shared" si="27"/>
        <v>241561.28536640521</v>
      </c>
      <c r="DM21" s="161">
        <f t="array" ref="DM21">IFERROR(SMALL(IF(DA21:DC21&gt;0,DA21:DC21),1),0)</f>
        <v>0</v>
      </c>
      <c r="DN21" s="78">
        <v>42461</v>
      </c>
      <c r="DO21" s="169"/>
      <c r="DP21" s="68"/>
      <c r="DQ21" s="68">
        <v>0</v>
      </c>
      <c r="DR21" s="68">
        <f t="shared" si="25"/>
        <v>0</v>
      </c>
      <c r="DS21" s="170">
        <f t="shared" si="28"/>
        <v>0</v>
      </c>
      <c r="DU21" s="1751" t="s">
        <v>97</v>
      </c>
      <c r="DV21" s="1752"/>
      <c r="DW21" s="183">
        <f>DS20</f>
        <v>0</v>
      </c>
      <c r="DX21" s="184">
        <f>DS25</f>
        <v>0</v>
      </c>
      <c r="DY21" s="185">
        <f>DS32</f>
        <v>60000</v>
      </c>
      <c r="DZ21" s="186"/>
      <c r="EA21" s="186"/>
      <c r="EB21" s="186"/>
      <c r="EC21" s="186">
        <f>DS38</f>
        <v>90000</v>
      </c>
    </row>
    <row r="22" spans="1:134">
      <c r="B22" s="173" t="s">
        <v>58</v>
      </c>
      <c r="C22" s="174"/>
      <c r="D22" s="174">
        <f>C22*jodrate</f>
        <v>0</v>
      </c>
      <c r="O22" s="116">
        <f t="shared" si="13"/>
        <v>0</v>
      </c>
      <c r="P22" s="78">
        <v>42522</v>
      </c>
      <c r="Q22" s="95"/>
      <c r="R22" s="80"/>
      <c r="S22" s="95"/>
      <c r="T22" s="80"/>
      <c r="U22" s="80"/>
      <c r="V22" s="86"/>
      <c r="W22" s="116">
        <f t="shared" si="14"/>
        <v>0</v>
      </c>
      <c r="X22" s="78">
        <v>42522</v>
      </c>
      <c r="Y22" s="104"/>
      <c r="Z22" s="105"/>
      <c r="AA22" s="104"/>
      <c r="AB22" s="105"/>
      <c r="AC22" s="105"/>
      <c r="AE22" s="116">
        <f t="shared" si="15"/>
        <v>0</v>
      </c>
      <c r="AF22" s="78">
        <v>42522</v>
      </c>
      <c r="AG22" s="3"/>
      <c r="AH22" s="5"/>
      <c r="AI22" s="68"/>
      <c r="AJ22" s="6"/>
      <c r="AK22" s="6"/>
      <c r="AM22" s="116">
        <f t="shared" si="16"/>
        <v>0</v>
      </c>
      <c r="AN22" s="78">
        <v>42522</v>
      </c>
      <c r="AO22" s="3"/>
      <c r="AP22" s="5"/>
      <c r="AQ22" s="68"/>
      <c r="AR22" s="6"/>
      <c r="AS22" s="6"/>
      <c r="AU22" s="116">
        <f t="shared" si="17"/>
        <v>0</v>
      </c>
      <c r="AV22" s="78">
        <v>42522</v>
      </c>
      <c r="AW22" s="3"/>
      <c r="AX22" s="5"/>
      <c r="AY22" s="68"/>
      <c r="AZ22" s="6"/>
      <c r="BA22" s="6"/>
      <c r="BC22" s="116">
        <f t="shared" si="18"/>
        <v>0</v>
      </c>
      <c r="BD22" s="78">
        <v>42522</v>
      </c>
      <c r="BE22" s="3"/>
      <c r="BF22" s="5"/>
      <c r="BG22" s="68"/>
      <c r="BH22" s="6"/>
      <c r="BI22" s="6"/>
      <c r="BK22" s="116">
        <f t="shared" si="19"/>
        <v>0</v>
      </c>
      <c r="BL22" s="78">
        <v>42522</v>
      </c>
      <c r="BM22" s="3"/>
      <c r="BN22" s="5"/>
      <c r="BO22" s="68"/>
      <c r="BP22" s="6"/>
      <c r="BQ22" s="6"/>
      <c r="BS22" s="116">
        <f t="shared" si="20"/>
        <v>0</v>
      </c>
      <c r="BT22" s="78">
        <v>42522</v>
      </c>
      <c r="BU22" s="3"/>
      <c r="BV22" s="5"/>
      <c r="BW22" s="68"/>
      <c r="BX22" s="6"/>
      <c r="BY22" s="6"/>
      <c r="CA22" s="116">
        <f t="shared" si="21"/>
        <v>0</v>
      </c>
      <c r="CB22" s="78">
        <v>42522</v>
      </c>
      <c r="CC22" s="3"/>
      <c r="CD22" s="5"/>
      <c r="CE22" s="68"/>
      <c r="CF22" s="6"/>
      <c r="CG22" s="6"/>
      <c r="CI22" s="116">
        <f t="shared" si="22"/>
        <v>0</v>
      </c>
      <c r="CJ22" s="78">
        <v>42522</v>
      </c>
      <c r="CK22" s="3"/>
      <c r="CL22" s="5"/>
      <c r="CM22" s="68"/>
      <c r="CN22" s="6"/>
      <c r="CO22" s="6"/>
      <c r="CQ22" s="116">
        <f t="shared" si="23"/>
        <v>3</v>
      </c>
      <c r="CR22" s="78">
        <v>42522</v>
      </c>
      <c r="CS22" s="3">
        <f>[6]IRR!AL17</f>
        <v>7119.7567446554722</v>
      </c>
      <c r="CT22" s="5">
        <f>CS22/(1+'[6]Assets to be Leased'!$B$9)</f>
        <v>6137.721331599545</v>
      </c>
      <c r="CU22" s="68">
        <f t="shared" si="24"/>
        <v>4980.6763346415664</v>
      </c>
      <c r="CV22" s="6">
        <f>[6]IRR!AO17</f>
        <v>2139.0804100139053</v>
      </c>
      <c r="CW22" s="6">
        <f>[6]IRR!AP17/(1+'[6]Assets to be Leased'!$B$9)</f>
        <v>199693.58136857572</v>
      </c>
      <c r="CZ22" s="78">
        <v>42491</v>
      </c>
      <c r="DA22" s="142">
        <f>IF(DO21&gt;=DA21,0,U21*(1+'[6]Assets to be Leased'!$B$9))</f>
        <v>0</v>
      </c>
      <c r="DB22" s="143">
        <f>IF(DO21&gt;=DB21,0,AC21*(1+'[6]Assets to be Leased'!$B$9))</f>
        <v>0</v>
      </c>
      <c r="DC22" s="143">
        <f>IF(DO21&gt;=DC21,0,AK21*(1+'[6]Assets to be Leased'!$B$9))</f>
        <v>0</v>
      </c>
      <c r="DD22" s="144" t="str">
        <f>IF(AS21="","",AS21*(1+'[6]Assets to be Leased'!$B$9))</f>
        <v/>
      </c>
      <c r="DE22" s="144">
        <f>BA21*(1+'[6]Assets to be Leased'!$B$9)</f>
        <v>0</v>
      </c>
      <c r="DF22" s="144">
        <f>BI21*(1+'[6]Assets to be Leased'!$B$9)</f>
        <v>0</v>
      </c>
      <c r="DG22" s="144">
        <f>BQ21*(1+'[6]Assets to be Leased'!$B$9)</f>
        <v>0</v>
      </c>
      <c r="DH22" s="144">
        <f>BY21*(1+'[6]Assets to be Leased'!$B$9)</f>
        <v>0</v>
      </c>
      <c r="DI22" s="144">
        <f>CG21*(1+'[6]Assets to be Leased'!$B$9)</f>
        <v>0</v>
      </c>
      <c r="DJ22" s="144">
        <f>CO21*(1+'[6]Assets to be Leased'!$B$9)</f>
        <v>0</v>
      </c>
      <c r="DK22" s="176">
        <f>CW21*(1+'[6]Assets to be Leased'!$B$9)</f>
        <v>236625.23072218936</v>
      </c>
      <c r="DL22" s="176">
        <f t="shared" si="27"/>
        <v>236625.23072218936</v>
      </c>
      <c r="DM22" s="161">
        <f t="array" ref="DM22">IFERROR(SMALL(IF(DA22:DC22&gt;0,DA22:DC22),1),0)</f>
        <v>0</v>
      </c>
      <c r="DN22" s="78">
        <v>42491</v>
      </c>
      <c r="DO22" s="169"/>
      <c r="DP22" s="187"/>
      <c r="DQ22" s="68">
        <v>0</v>
      </c>
      <c r="DR22" s="68">
        <f t="shared" si="25"/>
        <v>0</v>
      </c>
      <c r="DS22" s="170">
        <f t="shared" si="28"/>
        <v>0</v>
      </c>
      <c r="DU22" s="1751" t="s">
        <v>98</v>
      </c>
      <c r="DV22" s="1752"/>
      <c r="DW22" s="188">
        <f>H5</f>
        <v>0</v>
      </c>
      <c r="DX22" s="178">
        <f t="shared" ref="DX22:DY23" si="29">DW22</f>
        <v>0</v>
      </c>
      <c r="DY22" s="189">
        <f t="shared" si="29"/>
        <v>0</v>
      </c>
      <c r="DZ22" s="180"/>
      <c r="EA22" s="180"/>
      <c r="EB22" s="180"/>
      <c r="EC22" s="186">
        <f>DY22</f>
        <v>0</v>
      </c>
    </row>
    <row r="23" spans="1:134">
      <c r="B23" s="167" t="s">
        <v>5</v>
      </c>
      <c r="C23" s="190">
        <f>SUM(C20:C22)</f>
        <v>0</v>
      </c>
      <c r="D23" s="191">
        <f>SUM(D20:D22)</f>
        <v>0</v>
      </c>
      <c r="O23" s="116">
        <f t="shared" si="13"/>
        <v>0</v>
      </c>
      <c r="P23" s="78">
        <v>42552</v>
      </c>
      <c r="Q23" s="95"/>
      <c r="R23" s="80"/>
      <c r="S23" s="95"/>
      <c r="T23" s="80"/>
      <c r="U23" s="80"/>
      <c r="V23" s="86"/>
      <c r="W23" s="116">
        <f t="shared" si="14"/>
        <v>0</v>
      </c>
      <c r="X23" s="78">
        <v>42552</v>
      </c>
      <c r="Y23" s="104"/>
      <c r="Z23" s="105"/>
      <c r="AA23" s="104"/>
      <c r="AB23" s="105"/>
      <c r="AC23" s="105"/>
      <c r="AE23" s="116">
        <f t="shared" si="15"/>
        <v>0</v>
      </c>
      <c r="AF23" s="78">
        <v>42552</v>
      </c>
      <c r="AG23" s="3"/>
      <c r="AH23" s="5"/>
      <c r="AI23" s="68"/>
      <c r="AJ23" s="6"/>
      <c r="AK23" s="6"/>
      <c r="AM23" s="116">
        <f t="shared" si="16"/>
        <v>0</v>
      </c>
      <c r="AN23" s="78">
        <v>42552</v>
      </c>
      <c r="AO23" s="3"/>
      <c r="AP23" s="5"/>
      <c r="AQ23" s="68"/>
      <c r="AR23" s="6"/>
      <c r="AS23" s="6"/>
      <c r="AU23" s="116">
        <f t="shared" si="17"/>
        <v>0</v>
      </c>
      <c r="AV23" s="78">
        <v>42552</v>
      </c>
      <c r="AW23" s="3"/>
      <c r="AX23" s="5"/>
      <c r="AY23" s="68"/>
      <c r="AZ23" s="6"/>
      <c r="BA23" s="6"/>
      <c r="BC23" s="116">
        <f t="shared" si="18"/>
        <v>0</v>
      </c>
      <c r="BD23" s="78">
        <v>42552</v>
      </c>
      <c r="BE23" s="3"/>
      <c r="BF23" s="5"/>
      <c r="BG23" s="68"/>
      <c r="BH23" s="6"/>
      <c r="BI23" s="6"/>
      <c r="BK23" s="116">
        <f t="shared" si="19"/>
        <v>0</v>
      </c>
      <c r="BL23" s="78">
        <v>42552</v>
      </c>
      <c r="BM23" s="3"/>
      <c r="BN23" s="5"/>
      <c r="BO23" s="68"/>
      <c r="BP23" s="6"/>
      <c r="BQ23" s="6"/>
      <c r="BS23" s="116">
        <f t="shared" si="20"/>
        <v>0</v>
      </c>
      <c r="BT23" s="78">
        <v>42552</v>
      </c>
      <c r="BU23" s="3"/>
      <c r="BV23" s="5"/>
      <c r="BW23" s="68"/>
      <c r="BX23" s="6"/>
      <c r="BY23" s="6"/>
      <c r="CA23" s="116">
        <f t="shared" si="21"/>
        <v>0</v>
      </c>
      <c r="CB23" s="78">
        <v>42552</v>
      </c>
      <c r="CC23" s="3"/>
      <c r="CD23" s="5"/>
      <c r="CE23" s="68"/>
      <c r="CF23" s="6"/>
      <c r="CG23" s="6"/>
      <c r="CI23" s="116">
        <f t="shared" si="22"/>
        <v>0</v>
      </c>
      <c r="CJ23" s="78">
        <v>42552</v>
      </c>
      <c r="CK23" s="3"/>
      <c r="CL23" s="5"/>
      <c r="CM23" s="68"/>
      <c r="CN23" s="6"/>
      <c r="CO23" s="6"/>
      <c r="CQ23" s="116">
        <f t="shared" si="23"/>
        <v>4</v>
      </c>
      <c r="CR23" s="78">
        <v>42552</v>
      </c>
      <c r="CS23" s="3">
        <f>[6]IRR!AL18</f>
        <v>7119.7567446554722</v>
      </c>
      <c r="CT23" s="5">
        <f>CS23/(1+'[6]Assets to be Leased'!$B$9)</f>
        <v>6137.721331599545</v>
      </c>
      <c r="CU23" s="68">
        <f t="shared" si="24"/>
        <v>5025.7014029469838</v>
      </c>
      <c r="CV23" s="6">
        <f>[6]IRR!AO18</f>
        <v>2094.0553417084884</v>
      </c>
      <c r="CW23" s="6">
        <f>[6]IRR!AP18/(1+'[6]Assets to be Leased'!$B$9)</f>
        <v>195361.08015913866</v>
      </c>
      <c r="CZ23" s="78">
        <v>42522</v>
      </c>
      <c r="DA23" s="142">
        <f>IF(DO22&gt;=DA22,0,U22*(1+'[6]Assets to be Leased'!$B$9))</f>
        <v>0</v>
      </c>
      <c r="DB23" s="143">
        <f>IF(DO22&gt;=DB22,0,AC22*(1+'[6]Assets to be Leased'!$B$9))</f>
        <v>0</v>
      </c>
      <c r="DC23" s="143">
        <f>IF(DO22&gt;=DC22,0,AK22*(1+'[6]Assets to be Leased'!$B$9))</f>
        <v>0</v>
      </c>
      <c r="DD23" s="144" t="str">
        <f>IF(AS22="","",AS22*(1+'[6]Assets to be Leased'!$B$9))</f>
        <v/>
      </c>
      <c r="DE23" s="144">
        <f>BA22*(1+'[6]Assets to be Leased'!$B$9)</f>
        <v>0</v>
      </c>
      <c r="DF23" s="144">
        <f>BI22*(1+'[6]Assets to be Leased'!$B$9)</f>
        <v>0</v>
      </c>
      <c r="DG23" s="144">
        <f>BQ22*(1+'[6]Assets to be Leased'!$B$9)</f>
        <v>0</v>
      </c>
      <c r="DH23" s="144">
        <f>BY22*(1+'[6]Assets to be Leased'!$B$9)</f>
        <v>0</v>
      </c>
      <c r="DI23" s="144">
        <f>CG22*(1+'[6]Assets to be Leased'!$B$9)</f>
        <v>0</v>
      </c>
      <c r="DJ23" s="144">
        <f>CO22*(1+'[6]Assets to be Leased'!$B$9)</f>
        <v>0</v>
      </c>
      <c r="DK23" s="176">
        <f>CW22*(1+'[6]Assets to be Leased'!$B$9)</f>
        <v>231644.5543875478</v>
      </c>
      <c r="DL23" s="176">
        <f t="shared" si="27"/>
        <v>231644.5543875478</v>
      </c>
      <c r="DM23" s="161">
        <f t="array" ref="DM23">IFERROR(SMALL(IF(DA23:DC23&gt;0,DA23:DC23),1),0)</f>
        <v>0</v>
      </c>
      <c r="DN23" s="78">
        <v>42522</v>
      </c>
      <c r="DO23" s="169"/>
      <c r="DP23" s="68">
        <f>DP22</f>
        <v>0</v>
      </c>
      <c r="DQ23" s="68">
        <v>0</v>
      </c>
      <c r="DR23" s="68">
        <f t="shared" si="25"/>
        <v>0</v>
      </c>
      <c r="DS23" s="170">
        <f t="shared" si="28"/>
        <v>0</v>
      </c>
      <c r="DU23" s="1751" t="s">
        <v>99</v>
      </c>
      <c r="DV23" s="1752"/>
      <c r="DW23" s="183">
        <f>H4</f>
        <v>0</v>
      </c>
      <c r="DX23" s="184">
        <f t="shared" si="29"/>
        <v>0</v>
      </c>
      <c r="DY23" s="185">
        <v>55000</v>
      </c>
      <c r="DZ23" s="186"/>
      <c r="EA23" s="186"/>
      <c r="EB23" s="186"/>
      <c r="EC23" s="186">
        <f>DY23</f>
        <v>55000</v>
      </c>
    </row>
    <row r="24" spans="1:134">
      <c r="O24" s="116">
        <f t="shared" si="13"/>
        <v>0</v>
      </c>
      <c r="P24" s="78">
        <v>42583</v>
      </c>
      <c r="Q24" s="95"/>
      <c r="R24" s="80"/>
      <c r="S24" s="95"/>
      <c r="T24" s="80"/>
      <c r="U24" s="80"/>
      <c r="V24" s="86"/>
      <c r="W24" s="116">
        <f t="shared" si="14"/>
        <v>0</v>
      </c>
      <c r="X24" s="78">
        <v>42583</v>
      </c>
      <c r="Y24" s="104"/>
      <c r="Z24" s="105"/>
      <c r="AA24" s="104"/>
      <c r="AB24" s="105"/>
      <c r="AC24" s="105"/>
      <c r="AE24" s="116">
        <f t="shared" si="15"/>
        <v>0</v>
      </c>
      <c r="AF24" s="78">
        <v>42583</v>
      </c>
      <c r="AG24" s="3"/>
      <c r="AH24" s="5"/>
      <c r="AI24" s="68"/>
      <c r="AJ24" s="6"/>
      <c r="AK24" s="6"/>
      <c r="AM24" s="116">
        <f t="shared" si="16"/>
        <v>0</v>
      </c>
      <c r="AN24" s="78">
        <v>42583</v>
      </c>
      <c r="AO24" s="3"/>
      <c r="AP24" s="5"/>
      <c r="AQ24" s="68"/>
      <c r="AR24" s="6"/>
      <c r="AS24" s="6"/>
      <c r="AU24" s="116">
        <f t="shared" si="17"/>
        <v>0</v>
      </c>
      <c r="AV24" s="78">
        <v>42583</v>
      </c>
      <c r="AW24" s="3"/>
      <c r="AX24" s="5"/>
      <c r="AY24" s="68"/>
      <c r="AZ24" s="6"/>
      <c r="BA24" s="6"/>
      <c r="BC24" s="116">
        <f t="shared" si="18"/>
        <v>0</v>
      </c>
      <c r="BD24" s="78">
        <v>42583</v>
      </c>
      <c r="BE24" s="3"/>
      <c r="BF24" s="5"/>
      <c r="BG24" s="68"/>
      <c r="BH24" s="6"/>
      <c r="BI24" s="6"/>
      <c r="BK24" s="116">
        <f t="shared" si="19"/>
        <v>0</v>
      </c>
      <c r="BL24" s="78">
        <v>42583</v>
      </c>
      <c r="BM24" s="3"/>
      <c r="BN24" s="5"/>
      <c r="BO24" s="68"/>
      <c r="BP24" s="6"/>
      <c r="BQ24" s="6"/>
      <c r="BS24" s="116">
        <f t="shared" si="20"/>
        <v>0</v>
      </c>
      <c r="BT24" s="78">
        <v>42583</v>
      </c>
      <c r="BU24" s="3"/>
      <c r="BV24" s="5"/>
      <c r="BW24" s="68"/>
      <c r="BX24" s="6"/>
      <c r="BY24" s="6"/>
      <c r="CA24" s="116">
        <f t="shared" si="21"/>
        <v>0</v>
      </c>
      <c r="CB24" s="78">
        <v>42583</v>
      </c>
      <c r="CC24" s="3"/>
      <c r="CD24" s="5"/>
      <c r="CE24" s="68"/>
      <c r="CF24" s="6"/>
      <c r="CG24" s="6"/>
      <c r="CI24" s="116">
        <f t="shared" si="22"/>
        <v>0</v>
      </c>
      <c r="CJ24" s="78">
        <v>42583</v>
      </c>
      <c r="CK24" s="3"/>
      <c r="CL24" s="5"/>
      <c r="CM24" s="68"/>
      <c r="CN24" s="6"/>
      <c r="CO24" s="6"/>
      <c r="CQ24" s="116">
        <f t="shared" si="23"/>
        <v>5</v>
      </c>
      <c r="CR24" s="78">
        <v>42583</v>
      </c>
      <c r="CS24" s="3">
        <f>[6]IRR!AL19</f>
        <v>7119.7567446554722</v>
      </c>
      <c r="CT24" s="5">
        <f>CS24/(1+'[6]Assets to be Leased'!$B$9)</f>
        <v>6137.721331599545</v>
      </c>
      <c r="CU24" s="68">
        <f t="shared" si="24"/>
        <v>5071.133495648226</v>
      </c>
      <c r="CV24" s="6">
        <f>[6]IRR!AO19</f>
        <v>2048.6232490072462</v>
      </c>
      <c r="CW24" s="6">
        <f>[6]IRR!AP19/(1+'[6]Assets to be Leased'!$B$9)</f>
        <v>190989.41335254535</v>
      </c>
      <c r="CZ24" s="78">
        <v>42552</v>
      </c>
      <c r="DA24" s="142">
        <f>IF(DO23&gt;=DA23,0,U23*(1+'[6]Assets to be Leased'!$B$9))</f>
        <v>0</v>
      </c>
      <c r="DB24" s="143">
        <f>IF(DO23&gt;=DB23,0,AC23*(1+'[6]Assets to be Leased'!$B$9))</f>
        <v>0</v>
      </c>
      <c r="DC24" s="143">
        <f>IF(DO23&gt;=DC23,0,AK23*(1+'[6]Assets to be Leased'!$B$9))</f>
        <v>0</v>
      </c>
      <c r="DD24" s="144" t="str">
        <f>IF(AS23="","",AS23*(1+'[6]Assets to be Leased'!$B$9))</f>
        <v/>
      </c>
      <c r="DE24" s="144">
        <f>BA23*(1+'[6]Assets to be Leased'!$B$9)</f>
        <v>0</v>
      </c>
      <c r="DF24" s="144">
        <f>BI23*(1+'[6]Assets to be Leased'!$B$9)</f>
        <v>0</v>
      </c>
      <c r="DG24" s="144">
        <f>BQ23*(1+'[6]Assets to be Leased'!$B$9)</f>
        <v>0</v>
      </c>
      <c r="DH24" s="144">
        <f>BY23*(1+'[6]Assets to be Leased'!$B$9)</f>
        <v>0</v>
      </c>
      <c r="DI24" s="144">
        <f>CG23*(1+'[6]Assets to be Leased'!$B$9)</f>
        <v>0</v>
      </c>
      <c r="DJ24" s="144">
        <f>CO23*(1+'[6]Assets to be Leased'!$B$9)</f>
        <v>0</v>
      </c>
      <c r="DK24" s="176">
        <f>CW23*(1+'[6]Assets to be Leased'!$B$9)</f>
        <v>226618.85298460082</v>
      </c>
      <c r="DL24" s="176">
        <f t="shared" si="27"/>
        <v>226618.85298460082</v>
      </c>
      <c r="DM24" s="161">
        <f t="array" ref="DM24">IFERROR(SMALL(IF(DA24:DC24&gt;0,DA24:DC24),1),0)</f>
        <v>0</v>
      </c>
      <c r="DN24" s="78">
        <v>42552</v>
      </c>
      <c r="DO24" s="169"/>
      <c r="DP24" s="68">
        <f t="shared" ref="DP24:DP28" si="30">DP23</f>
        <v>0</v>
      </c>
      <c r="DQ24" s="68">
        <v>0</v>
      </c>
      <c r="DR24" s="68">
        <f t="shared" si="25"/>
        <v>0</v>
      </c>
      <c r="DS24" s="170">
        <f t="shared" si="28"/>
        <v>0</v>
      </c>
      <c r="DU24" s="1751" t="s">
        <v>100</v>
      </c>
      <c r="DV24" s="1752"/>
      <c r="DW24" s="192">
        <f>SUM(DW21:DW23)/DW20</f>
        <v>0</v>
      </c>
      <c r="DX24" s="193">
        <f>SUM(DX21:DX23)/DX20</f>
        <v>0</v>
      </c>
      <c r="DY24" s="194">
        <f>SUM(DY21:DY23)/DY20</f>
        <v>0.60339479197432921</v>
      </c>
      <c r="DZ24" s="195"/>
      <c r="EA24" s="195"/>
      <c r="EB24" s="195"/>
      <c r="EC24" s="196">
        <f>SUM(EC21:EC23)/EC20</f>
        <v>0.85948113004376092</v>
      </c>
    </row>
    <row r="25" spans="1:134">
      <c r="O25" s="116">
        <f t="shared" si="13"/>
        <v>0</v>
      </c>
      <c r="P25" s="78">
        <v>42614</v>
      </c>
      <c r="Q25" s="95"/>
      <c r="R25" s="80"/>
      <c r="S25" s="95"/>
      <c r="T25" s="80"/>
      <c r="U25" s="80"/>
      <c r="V25" s="86"/>
      <c r="W25" s="116">
        <f t="shared" si="14"/>
        <v>0</v>
      </c>
      <c r="X25" s="78">
        <v>42614</v>
      </c>
      <c r="Y25" s="104"/>
      <c r="Z25" s="105"/>
      <c r="AA25" s="104"/>
      <c r="AB25" s="105"/>
      <c r="AC25" s="105"/>
      <c r="AE25" s="116">
        <f t="shared" si="15"/>
        <v>0</v>
      </c>
      <c r="AF25" s="78">
        <v>42614</v>
      </c>
      <c r="AG25" s="3"/>
      <c r="AH25" s="5"/>
      <c r="AI25" s="68"/>
      <c r="AJ25" s="6"/>
      <c r="AK25" s="6"/>
      <c r="AM25" s="116">
        <f t="shared" si="16"/>
        <v>0</v>
      </c>
      <c r="AN25" s="78">
        <v>42614</v>
      </c>
      <c r="AO25" s="3"/>
      <c r="AP25" s="5"/>
      <c r="AQ25" s="68"/>
      <c r="AR25" s="6"/>
      <c r="AS25" s="6"/>
      <c r="AU25" s="116">
        <f t="shared" si="17"/>
        <v>0</v>
      </c>
      <c r="AV25" s="78">
        <v>42614</v>
      </c>
      <c r="AW25" s="3"/>
      <c r="AX25" s="5"/>
      <c r="AY25" s="68"/>
      <c r="AZ25" s="6"/>
      <c r="BA25" s="6"/>
      <c r="BC25" s="116">
        <f t="shared" si="18"/>
        <v>0</v>
      </c>
      <c r="BD25" s="78">
        <v>42614</v>
      </c>
      <c r="BE25" s="3"/>
      <c r="BF25" s="5"/>
      <c r="BG25" s="68"/>
      <c r="BH25" s="6"/>
      <c r="BI25" s="6"/>
      <c r="BK25" s="116">
        <f t="shared" si="19"/>
        <v>0</v>
      </c>
      <c r="BL25" s="78">
        <v>42614</v>
      </c>
      <c r="BM25" s="3"/>
      <c r="BN25" s="5"/>
      <c r="BO25" s="68"/>
      <c r="BP25" s="6"/>
      <c r="BQ25" s="6"/>
      <c r="BS25" s="116">
        <f t="shared" si="20"/>
        <v>0</v>
      </c>
      <c r="BT25" s="78">
        <v>42614</v>
      </c>
      <c r="BU25" s="3"/>
      <c r="BV25" s="5"/>
      <c r="BW25" s="68"/>
      <c r="BX25" s="6"/>
      <c r="BY25" s="6"/>
      <c r="CA25" s="116">
        <f t="shared" si="21"/>
        <v>0</v>
      </c>
      <c r="CB25" s="78">
        <v>42614</v>
      </c>
      <c r="CC25" s="3"/>
      <c r="CD25" s="5"/>
      <c r="CE25" s="68"/>
      <c r="CF25" s="6"/>
      <c r="CG25" s="6"/>
      <c r="CI25" s="116">
        <f t="shared" si="22"/>
        <v>0</v>
      </c>
      <c r="CJ25" s="78">
        <v>42614</v>
      </c>
      <c r="CK25" s="3"/>
      <c r="CL25" s="5"/>
      <c r="CM25" s="68"/>
      <c r="CN25" s="6"/>
      <c r="CO25" s="6"/>
      <c r="CQ25" s="116">
        <f t="shared" si="23"/>
        <v>6</v>
      </c>
      <c r="CR25" s="78">
        <v>42614</v>
      </c>
      <c r="CS25" s="3">
        <f>[6]IRR!AL20</f>
        <v>7119.7567446554722</v>
      </c>
      <c r="CT25" s="5">
        <f>CS25/(1+'[6]Assets to be Leased'!$B$9)</f>
        <v>6137.721331599545</v>
      </c>
      <c r="CU25" s="68">
        <f t="shared" si="24"/>
        <v>5116.9762922257478</v>
      </c>
      <c r="CV25" s="6">
        <f>[6]IRR!AO20</f>
        <v>2002.7804524297246</v>
      </c>
      <c r="CW25" s="6">
        <f>[6]IRR!AP20/(1+'[6]Assets to be Leased'!$B$9)</f>
        <v>186578.22689373005</v>
      </c>
      <c r="CZ25" s="78">
        <v>42583</v>
      </c>
      <c r="DA25" s="142">
        <f>IF(DO24&gt;=DA24,0,U24*(1+'[6]Assets to be Leased'!$B$9))</f>
        <v>0</v>
      </c>
      <c r="DB25" s="143">
        <f>IF(DO24&gt;=DB24,0,AC24*(1+'[6]Assets to be Leased'!$B$9))</f>
        <v>0</v>
      </c>
      <c r="DC25" s="143">
        <f>IF(DO24&gt;=DC24,0,AK24*(1+'[6]Assets to be Leased'!$B$9))</f>
        <v>0</v>
      </c>
      <c r="DD25" s="144" t="str">
        <f>IF(AS24="","",AS24*(1+'[6]Assets to be Leased'!$B$9))</f>
        <v/>
      </c>
      <c r="DE25" s="144">
        <f>BA24*(1+'[6]Assets to be Leased'!$B$9)</f>
        <v>0</v>
      </c>
      <c r="DF25" s="144">
        <f>BI24*(1+'[6]Assets to be Leased'!$B$9)</f>
        <v>0</v>
      </c>
      <c r="DG25" s="144">
        <f>BQ24*(1+'[6]Assets to be Leased'!$B$9)</f>
        <v>0</v>
      </c>
      <c r="DH25" s="144">
        <f>BY24*(1+'[6]Assets to be Leased'!$B$9)</f>
        <v>0</v>
      </c>
      <c r="DI25" s="144">
        <f>CG24*(1+'[6]Assets to be Leased'!$B$9)</f>
        <v>0</v>
      </c>
      <c r="DJ25" s="144">
        <f>CO24*(1+'[6]Assets to be Leased'!$B$9)</f>
        <v>0</v>
      </c>
      <c r="DK25" s="176">
        <f>CW24*(1+'[6]Assets to be Leased'!$B$9)</f>
        <v>221547.7194889526</v>
      </c>
      <c r="DL25" s="176">
        <f t="shared" si="27"/>
        <v>221547.7194889526</v>
      </c>
      <c r="DM25" s="161">
        <f t="array" ref="DM25">IFERROR(SMALL(IF(DA25:DC25&gt;0,DA25:DC25),1),0)</f>
        <v>0</v>
      </c>
      <c r="DN25" s="78">
        <v>42583</v>
      </c>
      <c r="DO25" s="169"/>
      <c r="DP25" s="68">
        <f t="shared" si="30"/>
        <v>0</v>
      </c>
      <c r="DQ25" s="68">
        <v>0</v>
      </c>
      <c r="DR25" s="68">
        <f t="shared" si="25"/>
        <v>0</v>
      </c>
      <c r="DS25" s="170">
        <f t="shared" si="28"/>
        <v>0</v>
      </c>
      <c r="DU25" s="1751" t="s">
        <v>101</v>
      </c>
      <c r="DV25" s="1752"/>
      <c r="DW25" s="183">
        <f>Q19+Y19+AG19+[6]IRR!AY3</f>
        <v>7147.1404244426094</v>
      </c>
      <c r="DX25" s="184">
        <f>Y24+AG24+[6]IRR!AY3</f>
        <v>7147.1404244426094</v>
      </c>
      <c r="DY25" s="185">
        <f>AG31+[6]IRR!AY3</f>
        <v>7147.1404244426094</v>
      </c>
      <c r="DZ25" s="186"/>
      <c r="EA25" s="186"/>
      <c r="EB25" s="186"/>
      <c r="EC25" s="186">
        <f>[6]IRR!AY3</f>
        <v>7147.1404244426094</v>
      </c>
    </row>
    <row r="26" spans="1:134" ht="15" customHeight="1">
      <c r="A26" s="66" t="s">
        <v>65</v>
      </c>
      <c r="B26" s="66" t="s">
        <v>6</v>
      </c>
      <c r="C26" s="26">
        <v>2016</v>
      </c>
      <c r="D26" s="26">
        <f>C26+1</f>
        <v>2017</v>
      </c>
      <c r="E26" s="26">
        <f t="shared" ref="E26:L26" si="31">D26+1</f>
        <v>2018</v>
      </c>
      <c r="F26" s="26">
        <f t="shared" si="31"/>
        <v>2019</v>
      </c>
      <c r="G26" s="26">
        <f t="shared" si="31"/>
        <v>2020</v>
      </c>
      <c r="H26" s="26">
        <f t="shared" si="31"/>
        <v>2021</v>
      </c>
      <c r="I26" s="26">
        <f t="shared" si="31"/>
        <v>2022</v>
      </c>
      <c r="J26" s="26">
        <f t="shared" si="31"/>
        <v>2023</v>
      </c>
      <c r="K26" s="26">
        <f t="shared" si="31"/>
        <v>2024</v>
      </c>
      <c r="L26" s="27">
        <f t="shared" si="31"/>
        <v>2025</v>
      </c>
      <c r="M26" s="12"/>
      <c r="O26" s="116">
        <f t="shared" si="13"/>
        <v>0</v>
      </c>
      <c r="P26" s="78">
        <v>42644</v>
      </c>
      <c r="Q26" s="95"/>
      <c r="R26" s="80"/>
      <c r="S26" s="95"/>
      <c r="T26" s="80"/>
      <c r="U26" s="80"/>
      <c r="V26" s="86"/>
      <c r="W26" s="116">
        <f t="shared" si="14"/>
        <v>0</v>
      </c>
      <c r="X26" s="78">
        <v>42644</v>
      </c>
      <c r="Y26" s="104"/>
      <c r="Z26" s="105"/>
      <c r="AA26" s="104"/>
      <c r="AB26" s="105"/>
      <c r="AC26" s="105"/>
      <c r="AE26" s="116">
        <f t="shared" si="15"/>
        <v>0</v>
      </c>
      <c r="AF26" s="78">
        <v>42644</v>
      </c>
      <c r="AG26" s="3"/>
      <c r="AH26" s="5"/>
      <c r="AI26" s="68"/>
      <c r="AJ26" s="6"/>
      <c r="AK26" s="6"/>
      <c r="AM26" s="116">
        <f t="shared" si="16"/>
        <v>0</v>
      </c>
      <c r="AN26" s="78">
        <v>42644</v>
      </c>
      <c r="AO26" s="3"/>
      <c r="AP26" s="5"/>
      <c r="AQ26" s="68"/>
      <c r="AR26" s="6"/>
      <c r="AS26" s="6"/>
      <c r="AU26" s="116">
        <f t="shared" si="17"/>
        <v>0</v>
      </c>
      <c r="AV26" s="78">
        <v>42644</v>
      </c>
      <c r="AW26" s="3"/>
      <c r="AX26" s="5"/>
      <c r="AY26" s="68"/>
      <c r="AZ26" s="6"/>
      <c r="BA26" s="6"/>
      <c r="BC26" s="116">
        <f t="shared" si="18"/>
        <v>0</v>
      </c>
      <c r="BD26" s="78">
        <v>42644</v>
      </c>
      <c r="BE26" s="3"/>
      <c r="BF26" s="5"/>
      <c r="BG26" s="68"/>
      <c r="BH26" s="6"/>
      <c r="BI26" s="6"/>
      <c r="BK26" s="116">
        <f t="shared" si="19"/>
        <v>0</v>
      </c>
      <c r="BL26" s="78">
        <v>42644</v>
      </c>
      <c r="BM26" s="3"/>
      <c r="BN26" s="5"/>
      <c r="BO26" s="68"/>
      <c r="BP26" s="6"/>
      <c r="BQ26" s="6"/>
      <c r="BS26" s="116">
        <f t="shared" si="20"/>
        <v>0</v>
      </c>
      <c r="BT26" s="78">
        <v>42644</v>
      </c>
      <c r="BU26" s="3"/>
      <c r="BV26" s="5"/>
      <c r="BW26" s="68"/>
      <c r="BX26" s="6"/>
      <c r="BY26" s="6"/>
      <c r="CA26" s="116">
        <f t="shared" si="21"/>
        <v>0</v>
      </c>
      <c r="CB26" s="78">
        <v>42644</v>
      </c>
      <c r="CC26" s="3"/>
      <c r="CD26" s="5"/>
      <c r="CE26" s="68"/>
      <c r="CF26" s="6"/>
      <c r="CG26" s="6"/>
      <c r="CI26" s="116">
        <f t="shared" si="22"/>
        <v>0</v>
      </c>
      <c r="CJ26" s="78">
        <v>42644</v>
      </c>
      <c r="CK26" s="3"/>
      <c r="CL26" s="5"/>
      <c r="CM26" s="68"/>
      <c r="CN26" s="6"/>
      <c r="CO26" s="6"/>
      <c r="CQ26" s="116">
        <f t="shared" si="23"/>
        <v>7</v>
      </c>
      <c r="CR26" s="78">
        <v>42644</v>
      </c>
      <c r="CS26" s="3">
        <f>[6]IRR!AL21</f>
        <v>7119.7567446554722</v>
      </c>
      <c r="CT26" s="5">
        <f>CS26/(1+'[6]Assets to be Leased'!$B$9)</f>
        <v>6137.721331599545</v>
      </c>
      <c r="CU26" s="68">
        <f t="shared" si="24"/>
        <v>5163.2335054223249</v>
      </c>
      <c r="CV26" s="6">
        <f>[6]IRR!AO21</f>
        <v>1956.5232392331473</v>
      </c>
      <c r="CW26" s="6">
        <f>[6]IRR!AP21/(1+'[6]Assets to be Leased'!$B$9)</f>
        <v>182127.16352698667</v>
      </c>
      <c r="CZ26" s="78">
        <v>42614</v>
      </c>
      <c r="DA26" s="142">
        <f>IF(DO25&gt;=DA25,0,U25*(1+'[6]Assets to be Leased'!$B$9))</f>
        <v>0</v>
      </c>
      <c r="DB26" s="143">
        <f>IF(DO25&gt;=DB25,0,AC25*(1+'[6]Assets to be Leased'!$B$9))</f>
        <v>0</v>
      </c>
      <c r="DC26" s="143">
        <f>IF(DO25&gt;=DC25,0,AK25*(1+'[6]Assets to be Leased'!$B$9))</f>
        <v>0</v>
      </c>
      <c r="DD26" s="144" t="str">
        <f>IF(AS25="","",AS25*(1+'[6]Assets to be Leased'!$B$9))</f>
        <v/>
      </c>
      <c r="DE26" s="144">
        <f>BA25*(1+'[6]Assets to be Leased'!$B$9)</f>
        <v>0</v>
      </c>
      <c r="DF26" s="144">
        <f>BI25*(1+'[6]Assets to be Leased'!$B$9)</f>
        <v>0</v>
      </c>
      <c r="DG26" s="144">
        <f>BQ25*(1+'[6]Assets to be Leased'!$B$9)</f>
        <v>0</v>
      </c>
      <c r="DH26" s="144">
        <f>BY25*(1+'[6]Assets to be Leased'!$B$9)</f>
        <v>0</v>
      </c>
      <c r="DI26" s="144">
        <f>CG25*(1+'[6]Assets to be Leased'!$B$9)</f>
        <v>0</v>
      </c>
      <c r="DJ26" s="144">
        <f>CO25*(1+'[6]Assets to be Leased'!$B$9)</f>
        <v>0</v>
      </c>
      <c r="DK26" s="176">
        <f>CW25*(1+'[6]Assets to be Leased'!$B$9)</f>
        <v>216430.74319672683</v>
      </c>
      <c r="DL26" s="176">
        <f t="shared" si="27"/>
        <v>216430.74319672683</v>
      </c>
      <c r="DM26" s="161">
        <f t="array" ref="DM26">IFERROR(SMALL(IF(DA26:DC26&gt;0,DA26:DC26),1),0)</f>
        <v>0</v>
      </c>
      <c r="DN26" s="78">
        <v>42614</v>
      </c>
      <c r="DO26" s="169"/>
      <c r="DP26" s="68">
        <f t="shared" si="30"/>
        <v>0</v>
      </c>
      <c r="DQ26" s="68">
        <v>10000</v>
      </c>
      <c r="DR26" s="68">
        <f>SUM(DP26:DQ26)</f>
        <v>10000</v>
      </c>
      <c r="DS26" s="170">
        <f>DS25+DR26-DO26</f>
        <v>10000</v>
      </c>
      <c r="DU26" s="1753" t="s">
        <v>102</v>
      </c>
      <c r="DV26" s="1754"/>
      <c r="DW26" s="197">
        <f>[6]Financials!$CF$61/12</f>
        <v>22756.163246411536</v>
      </c>
      <c r="DX26" s="198">
        <f>[6]Financials!CF$61/12</f>
        <v>22756.163246411536</v>
      </c>
      <c r="DY26" s="199">
        <f>[6]Financials!$CG61/12</f>
        <v>24256.826633143952</v>
      </c>
      <c r="DZ26" s="200"/>
      <c r="EA26" s="200"/>
      <c r="EB26" s="200"/>
      <c r="EC26" s="201">
        <f>[6]Financials!$CG61/12</f>
        <v>24256.826633143952</v>
      </c>
    </row>
    <row r="27" spans="1:134" ht="15" customHeight="1">
      <c r="A27" s="39"/>
      <c r="B27" s="23"/>
      <c r="C27" s="24" t="s">
        <v>22</v>
      </c>
      <c r="D27" s="24" t="str">
        <f t="shared" ref="D27:L27" si="32">C27</f>
        <v>USD</v>
      </c>
      <c r="E27" s="24" t="str">
        <f t="shared" si="32"/>
        <v>USD</v>
      </c>
      <c r="F27" s="24" t="str">
        <f t="shared" si="32"/>
        <v>USD</v>
      </c>
      <c r="G27" s="24" t="str">
        <f t="shared" si="32"/>
        <v>USD</v>
      </c>
      <c r="H27" s="24" t="str">
        <f t="shared" si="32"/>
        <v>USD</v>
      </c>
      <c r="I27" s="24" t="str">
        <f t="shared" si="32"/>
        <v>USD</v>
      </c>
      <c r="J27" s="24" t="str">
        <f t="shared" si="32"/>
        <v>USD</v>
      </c>
      <c r="K27" s="24" t="str">
        <f t="shared" si="32"/>
        <v>USD</v>
      </c>
      <c r="L27" s="25" t="str">
        <f t="shared" si="32"/>
        <v>USD</v>
      </c>
      <c r="M27" s="12"/>
      <c r="O27" s="116">
        <f t="shared" si="13"/>
        <v>0</v>
      </c>
      <c r="P27" s="78">
        <v>42675</v>
      </c>
      <c r="Q27" s="95"/>
      <c r="R27" s="80"/>
      <c r="S27" s="95"/>
      <c r="T27" s="80"/>
      <c r="U27" s="80"/>
      <c r="V27" s="86"/>
      <c r="W27" s="116">
        <f t="shared" si="14"/>
        <v>0</v>
      </c>
      <c r="X27" s="78">
        <v>42675</v>
      </c>
      <c r="Y27" s="104"/>
      <c r="Z27" s="105"/>
      <c r="AA27" s="104"/>
      <c r="AB27" s="105"/>
      <c r="AC27" s="105"/>
      <c r="AE27" s="116">
        <f t="shared" si="15"/>
        <v>0</v>
      </c>
      <c r="AF27" s="78">
        <v>42675</v>
      </c>
      <c r="AG27" s="3"/>
      <c r="AH27" s="5"/>
      <c r="AI27" s="68"/>
      <c r="AJ27" s="6"/>
      <c r="AK27" s="6"/>
      <c r="AM27" s="116">
        <f t="shared" si="16"/>
        <v>0</v>
      </c>
      <c r="AN27" s="78">
        <v>42675</v>
      </c>
      <c r="AO27" s="3"/>
      <c r="AP27" s="5"/>
      <c r="AQ27" s="68"/>
      <c r="AR27" s="6"/>
      <c r="AS27" s="6"/>
      <c r="AU27" s="116">
        <f t="shared" si="17"/>
        <v>0</v>
      </c>
      <c r="AV27" s="78">
        <v>42675</v>
      </c>
      <c r="AW27" s="3"/>
      <c r="AX27" s="5"/>
      <c r="AY27" s="68"/>
      <c r="AZ27" s="6"/>
      <c r="BA27" s="6"/>
      <c r="BC27" s="116">
        <f t="shared" si="18"/>
        <v>0</v>
      </c>
      <c r="BD27" s="78">
        <v>42675</v>
      </c>
      <c r="BE27" s="3"/>
      <c r="BF27" s="5"/>
      <c r="BG27" s="68"/>
      <c r="BH27" s="6"/>
      <c r="BI27" s="6"/>
      <c r="BK27" s="116">
        <f t="shared" si="19"/>
        <v>0</v>
      </c>
      <c r="BL27" s="78">
        <v>42675</v>
      </c>
      <c r="BM27" s="3"/>
      <c r="BN27" s="5"/>
      <c r="BO27" s="68"/>
      <c r="BP27" s="6"/>
      <c r="BQ27" s="6"/>
      <c r="BS27" s="116">
        <f t="shared" si="20"/>
        <v>0</v>
      </c>
      <c r="BT27" s="78">
        <v>42675</v>
      </c>
      <c r="BU27" s="3"/>
      <c r="BV27" s="5"/>
      <c r="BW27" s="68"/>
      <c r="BX27" s="6"/>
      <c r="BY27" s="6"/>
      <c r="CA27" s="116">
        <f t="shared" si="21"/>
        <v>0</v>
      </c>
      <c r="CB27" s="78">
        <v>42675</v>
      </c>
      <c r="CC27" s="3"/>
      <c r="CD27" s="5"/>
      <c r="CE27" s="68"/>
      <c r="CF27" s="6"/>
      <c r="CG27" s="6"/>
      <c r="CI27" s="116">
        <f t="shared" si="22"/>
        <v>0</v>
      </c>
      <c r="CJ27" s="78">
        <v>42675</v>
      </c>
      <c r="CK27" s="3"/>
      <c r="CL27" s="5"/>
      <c r="CM27" s="68"/>
      <c r="CN27" s="6"/>
      <c r="CO27" s="6"/>
      <c r="CQ27" s="116">
        <f t="shared" si="23"/>
        <v>8</v>
      </c>
      <c r="CR27" s="78">
        <v>42675</v>
      </c>
      <c r="CS27" s="3">
        <f>[6]IRR!AL22</f>
        <v>7119.7567446554722</v>
      </c>
      <c r="CT27" s="5">
        <f>CS27/(1+'[6]Assets to be Leased'!$B$9)</f>
        <v>6137.721331599545</v>
      </c>
      <c r="CU27" s="68">
        <f t="shared" si="24"/>
        <v>5209.9088815437462</v>
      </c>
      <c r="CV27" s="6">
        <f>[6]IRR!AO22</f>
        <v>1909.8478631117257</v>
      </c>
      <c r="CW27" s="6">
        <f>[6]IRR!AP22/(1+'[6]Assets to be Leased'!$B$9)</f>
        <v>177635.86276703517</v>
      </c>
      <c r="CZ27" s="78">
        <v>42644</v>
      </c>
      <c r="DA27" s="142">
        <f>IF(DO26&gt;=DA26,0,U26*(1+'[6]Assets to be Leased'!$B$9))</f>
        <v>0</v>
      </c>
      <c r="DB27" s="143">
        <f>IF(DO26&gt;=DB26,0,AC26*(1+'[6]Assets to be Leased'!$B$9))</f>
        <v>0</v>
      </c>
      <c r="DC27" s="143">
        <f>IF(DO26&gt;=DC26,0,AK26*(1+'[6]Assets to be Leased'!$B$9))</f>
        <v>0</v>
      </c>
      <c r="DD27" s="144" t="str">
        <f>IF(AS26="","",AS26*(1+'[6]Assets to be Leased'!$B$9))</f>
        <v/>
      </c>
      <c r="DE27" s="144">
        <f>BA26*(1+'[6]Assets to be Leased'!$B$9)</f>
        <v>0</v>
      </c>
      <c r="DF27" s="144">
        <f>BI26*(1+'[6]Assets to be Leased'!$B$9)</f>
        <v>0</v>
      </c>
      <c r="DG27" s="144">
        <f>BQ26*(1+'[6]Assets to be Leased'!$B$9)</f>
        <v>0</v>
      </c>
      <c r="DH27" s="144">
        <f>BY26*(1+'[6]Assets to be Leased'!$B$9)</f>
        <v>0</v>
      </c>
      <c r="DI27" s="144">
        <f>CG26*(1+'[6]Assets to be Leased'!$B$9)</f>
        <v>0</v>
      </c>
      <c r="DJ27" s="144">
        <f>CO26*(1+'[6]Assets to be Leased'!$B$9)</f>
        <v>0</v>
      </c>
      <c r="DK27" s="176">
        <f>CW26*(1+'[6]Assets to be Leased'!$B$9)</f>
        <v>211267.50969130453</v>
      </c>
      <c r="DL27" s="176">
        <f t="shared" si="27"/>
        <v>211267.50969130453</v>
      </c>
      <c r="DM27" s="161">
        <f t="array" ref="DM27">IFERROR(SMALL(IF(DA27:DC27&gt;0,DA27:DC27),1),0)</f>
        <v>0</v>
      </c>
      <c r="DN27" s="78">
        <v>42644</v>
      </c>
      <c r="DO27" s="169"/>
      <c r="DP27" s="68">
        <f t="shared" si="30"/>
        <v>0</v>
      </c>
      <c r="DQ27" s="68">
        <v>10000</v>
      </c>
      <c r="DR27" s="68">
        <f t="shared" ref="DR27:DR29" si="33">SUM(DP27:DQ27)</f>
        <v>10000</v>
      </c>
      <c r="DS27" s="170">
        <f t="shared" ref="DS27:DS29" si="34">DS26+DR27-DO27</f>
        <v>20000</v>
      </c>
      <c r="DU27" s="1755" t="s">
        <v>103</v>
      </c>
      <c r="DV27" s="1756"/>
      <c r="DW27" s="1756"/>
      <c r="DX27" s="1756"/>
      <c r="DY27" s="1756"/>
      <c r="DZ27" s="1757"/>
      <c r="EA27" s="202"/>
      <c r="EB27" s="202"/>
      <c r="EC27" s="202"/>
    </row>
    <row r="28" spans="1:134">
      <c r="A28" s="1783">
        <f>B4</f>
        <v>0</v>
      </c>
      <c r="B28" s="122" t="s">
        <v>67</v>
      </c>
      <c r="C28" s="11">
        <f>Q29</f>
        <v>0</v>
      </c>
      <c r="D28" s="11">
        <f>Q42</f>
        <v>0</v>
      </c>
      <c r="E28" s="11">
        <f>Q55</f>
        <v>0</v>
      </c>
      <c r="F28" s="11">
        <f>Q68</f>
        <v>0</v>
      </c>
      <c r="G28" s="11">
        <f>Q81</f>
        <v>0</v>
      </c>
      <c r="H28" s="11">
        <f>Q94</f>
        <v>0</v>
      </c>
      <c r="I28" s="11">
        <f>Q107</f>
        <v>0</v>
      </c>
      <c r="J28" s="11">
        <f>Q120</f>
        <v>0</v>
      </c>
      <c r="K28" s="11">
        <f>Q133</f>
        <v>0</v>
      </c>
      <c r="L28" s="74">
        <f>Q146</f>
        <v>0</v>
      </c>
      <c r="M28" s="12"/>
      <c r="O28" s="116">
        <f t="shared" si="13"/>
        <v>0</v>
      </c>
      <c r="P28" s="78">
        <v>42705</v>
      </c>
      <c r="Q28" s="95"/>
      <c r="R28" s="80"/>
      <c r="S28" s="95"/>
      <c r="T28" s="80"/>
      <c r="U28" s="80"/>
      <c r="V28" s="86"/>
      <c r="W28" s="116">
        <f t="shared" si="14"/>
        <v>0</v>
      </c>
      <c r="X28" s="78">
        <v>42705</v>
      </c>
      <c r="Y28" s="104"/>
      <c r="Z28" s="105"/>
      <c r="AA28" s="104"/>
      <c r="AB28" s="105"/>
      <c r="AC28" s="105"/>
      <c r="AE28" s="116">
        <f t="shared" si="15"/>
        <v>0</v>
      </c>
      <c r="AF28" s="78">
        <v>42705</v>
      </c>
      <c r="AG28" s="3"/>
      <c r="AH28" s="5"/>
      <c r="AI28" s="68"/>
      <c r="AJ28" s="6"/>
      <c r="AK28" s="6"/>
      <c r="AM28" s="116">
        <f t="shared" si="16"/>
        <v>0</v>
      </c>
      <c r="AN28" s="78">
        <v>42705</v>
      </c>
      <c r="AO28" s="3"/>
      <c r="AP28" s="5"/>
      <c r="AQ28" s="68"/>
      <c r="AR28" s="6"/>
      <c r="AS28" s="6"/>
      <c r="AU28" s="116">
        <f t="shared" si="17"/>
        <v>0</v>
      </c>
      <c r="AV28" s="78">
        <v>42705</v>
      </c>
      <c r="AW28" s="3"/>
      <c r="AX28" s="5"/>
      <c r="AY28" s="68"/>
      <c r="AZ28" s="6"/>
      <c r="BA28" s="6"/>
      <c r="BC28" s="116">
        <f t="shared" si="18"/>
        <v>0</v>
      </c>
      <c r="BD28" s="78">
        <v>42705</v>
      </c>
      <c r="BE28" s="3"/>
      <c r="BF28" s="5"/>
      <c r="BG28" s="68"/>
      <c r="BH28" s="6"/>
      <c r="BI28" s="6"/>
      <c r="BK28" s="116">
        <f t="shared" si="19"/>
        <v>0</v>
      </c>
      <c r="BL28" s="78">
        <v>42705</v>
      </c>
      <c r="BM28" s="3"/>
      <c r="BN28" s="5"/>
      <c r="BO28" s="68"/>
      <c r="BP28" s="6"/>
      <c r="BQ28" s="6"/>
      <c r="BS28" s="116">
        <f t="shared" si="20"/>
        <v>0</v>
      </c>
      <c r="BT28" s="78">
        <v>42705</v>
      </c>
      <c r="BU28" s="3"/>
      <c r="BV28" s="5"/>
      <c r="BW28" s="68"/>
      <c r="BX28" s="6"/>
      <c r="BY28" s="6"/>
      <c r="CA28" s="116">
        <f t="shared" si="21"/>
        <v>0</v>
      </c>
      <c r="CB28" s="78">
        <v>42705</v>
      </c>
      <c r="CC28" s="3"/>
      <c r="CD28" s="5"/>
      <c r="CE28" s="68"/>
      <c r="CF28" s="6"/>
      <c r="CG28" s="6"/>
      <c r="CI28" s="116">
        <f t="shared" si="22"/>
        <v>0</v>
      </c>
      <c r="CJ28" s="78">
        <v>42705</v>
      </c>
      <c r="CK28" s="3"/>
      <c r="CL28" s="5"/>
      <c r="CM28" s="68"/>
      <c r="CN28" s="6"/>
      <c r="CO28" s="6"/>
      <c r="CQ28" s="116">
        <f t="shared" si="23"/>
        <v>0</v>
      </c>
      <c r="CR28" s="78">
        <v>42705</v>
      </c>
      <c r="CS28" s="3">
        <f>[6]IRR!AL23</f>
        <v>0</v>
      </c>
      <c r="CT28" s="5">
        <f>CS28/(1+'[6]Assets to be Leased'!$B$9)</f>
        <v>0</v>
      </c>
      <c r="CU28" s="68">
        <f t="shared" si="24"/>
        <v>-1862.7505438932528</v>
      </c>
      <c r="CV28" s="6">
        <f>[6]IRR!AO23</f>
        <v>1862.7505438932528</v>
      </c>
      <c r="CW28" s="6">
        <f>[6]IRR!AP23/(1+'[6]Assets to be Leased'!$B$9)</f>
        <v>179241.68220142589</v>
      </c>
      <c r="CZ28" s="78">
        <v>42675</v>
      </c>
      <c r="DA28" s="142">
        <f>IF(DO27&gt;=DA27,0,U27*(1+'[6]Assets to be Leased'!$B$9))</f>
        <v>0</v>
      </c>
      <c r="DB28" s="143">
        <f>IF(DO27&gt;=DB27,0,AC27*(1+'[6]Assets to be Leased'!$B$9))</f>
        <v>0</v>
      </c>
      <c r="DC28" s="143">
        <f>IF(DO27&gt;=DC27,0,AK27*(1+'[6]Assets to be Leased'!$B$9))</f>
        <v>0</v>
      </c>
      <c r="DD28" s="144" t="str">
        <f>IF(AS27="","",AS27*(1+'[6]Assets to be Leased'!$B$9))</f>
        <v/>
      </c>
      <c r="DE28" s="144">
        <f>BA27*(1+'[6]Assets to be Leased'!$B$9)</f>
        <v>0</v>
      </c>
      <c r="DF28" s="144">
        <f>BI27*(1+'[6]Assets to be Leased'!$B$9)</f>
        <v>0</v>
      </c>
      <c r="DG28" s="144">
        <f>BQ27*(1+'[6]Assets to be Leased'!$B$9)</f>
        <v>0</v>
      </c>
      <c r="DH28" s="144">
        <f>BY27*(1+'[6]Assets to be Leased'!$B$9)</f>
        <v>0</v>
      </c>
      <c r="DI28" s="144">
        <f>CG27*(1+'[6]Assets to be Leased'!$B$9)</f>
        <v>0</v>
      </c>
      <c r="DJ28" s="144">
        <f>CO27*(1+'[6]Assets to be Leased'!$B$9)</f>
        <v>0</v>
      </c>
      <c r="DK28" s="176">
        <f>CW27*(1+'[6]Assets to be Leased'!$B$9)</f>
        <v>206057.60080976077</v>
      </c>
      <c r="DL28" s="176">
        <f t="shared" si="27"/>
        <v>206057.60080976077</v>
      </c>
      <c r="DM28" s="161">
        <f t="array" ref="DM28">IFERROR(SMALL(IF(DA28:DC28&gt;0,DA28:DC28),1),0)</f>
        <v>0</v>
      </c>
      <c r="DN28" s="78">
        <v>42675</v>
      </c>
      <c r="DO28" s="169">
        <f>IF(DS27+DR28&gt;DM28,HLOOKUP(DM28,DA28:$DL$82,1,FALSE),0)</f>
        <v>0</v>
      </c>
      <c r="DP28" s="68">
        <f t="shared" si="30"/>
        <v>0</v>
      </c>
      <c r="DQ28" s="68">
        <v>10000</v>
      </c>
      <c r="DR28" s="68">
        <f t="shared" si="33"/>
        <v>10000</v>
      </c>
      <c r="DS28" s="170">
        <f t="shared" si="34"/>
        <v>30000</v>
      </c>
      <c r="DU28" s="1758"/>
      <c r="DV28" s="1759"/>
      <c r="DW28" s="1759"/>
      <c r="DX28" s="1759"/>
      <c r="DY28" s="1759"/>
      <c r="DZ28" s="1760"/>
      <c r="EA28" s="203"/>
      <c r="EB28" s="203"/>
      <c r="EC28" s="203"/>
    </row>
    <row r="29" spans="1:134">
      <c r="A29" s="1784"/>
      <c r="B29" s="23" t="s">
        <v>69</v>
      </c>
      <c r="C29" s="9">
        <f>R29</f>
        <v>0</v>
      </c>
      <c r="D29" s="9">
        <f>R42</f>
        <v>0</v>
      </c>
      <c r="E29" s="9">
        <f>R55</f>
        <v>0</v>
      </c>
      <c r="F29" s="9">
        <f>R68</f>
        <v>0</v>
      </c>
      <c r="G29" s="9">
        <f>R81</f>
        <v>0</v>
      </c>
      <c r="H29" s="9">
        <f>R94</f>
        <v>0</v>
      </c>
      <c r="I29" s="9">
        <f>R107</f>
        <v>0</v>
      </c>
      <c r="J29" s="9">
        <f>R120</f>
        <v>0</v>
      </c>
      <c r="K29" s="9">
        <f>R133</f>
        <v>0</v>
      </c>
      <c r="L29" s="22">
        <f>R146</f>
        <v>0</v>
      </c>
      <c r="M29" s="12"/>
      <c r="N29" s="104">
        <f>(S29+AA29+AI29)*usdrate</f>
        <v>0</v>
      </c>
      <c r="O29" s="138" t="s">
        <v>20</v>
      </c>
      <c r="P29" s="87">
        <f>P16+1</f>
        <v>2016</v>
      </c>
      <c r="Q29" s="94">
        <f>SUM(Q17:Q28)</f>
        <v>0</v>
      </c>
      <c r="R29" s="94">
        <f>SUM(R17:R28)</f>
        <v>0</v>
      </c>
      <c r="S29" s="94">
        <f>SUM(S17:S28)</f>
        <v>0</v>
      </c>
      <c r="T29" s="94">
        <f>SUM(T17:T28)</f>
        <v>0</v>
      </c>
      <c r="U29" s="94">
        <f>U28</f>
        <v>0</v>
      </c>
      <c r="V29" s="101"/>
      <c r="W29" s="138" t="s">
        <v>20</v>
      </c>
      <c r="X29" s="87">
        <f>X16+1</f>
        <v>2016</v>
      </c>
      <c r="Y29" s="107">
        <f>SUM(Y17:Y28)</f>
        <v>0</v>
      </c>
      <c r="Z29" s="107">
        <f>SUM(Z17:Z28)</f>
        <v>0</v>
      </c>
      <c r="AA29" s="107">
        <f>SUM(AA17:AA28)</f>
        <v>0</v>
      </c>
      <c r="AB29" s="107">
        <f>SUM(AB17:AB28)</f>
        <v>0</v>
      </c>
      <c r="AC29" s="107">
        <f>AC28</f>
        <v>0</v>
      </c>
      <c r="AE29" s="138" t="s">
        <v>20</v>
      </c>
      <c r="AF29" s="87">
        <f>AF16+1</f>
        <v>2016</v>
      </c>
      <c r="AG29" s="107">
        <f>SUM(AG17:AG28)</f>
        <v>0</v>
      </c>
      <c r="AH29" s="107">
        <f>SUM(AH17:AH28)</f>
        <v>0</v>
      </c>
      <c r="AI29" s="107">
        <f>SUM(AI17:AI28)</f>
        <v>0</v>
      </c>
      <c r="AJ29" s="107">
        <f>SUM(AJ17:AJ28)</f>
        <v>0</v>
      </c>
      <c r="AK29" s="107">
        <f>AK28</f>
        <v>0</v>
      </c>
      <c r="AM29" s="138" t="s">
        <v>20</v>
      </c>
      <c r="AN29" s="87">
        <f>AN16+1</f>
        <v>2016</v>
      </c>
      <c r="AO29" s="107">
        <f>SUM(AO17:AO28)</f>
        <v>0</v>
      </c>
      <c r="AP29" s="107">
        <f>SUM(AP17:AP28)</f>
        <v>0</v>
      </c>
      <c r="AQ29" s="107">
        <f>SUM(AQ17:AQ28)</f>
        <v>0</v>
      </c>
      <c r="AR29" s="107">
        <f>SUM(AR17:AR28)</f>
        <v>0</v>
      </c>
      <c r="AS29" s="107">
        <f>AS28</f>
        <v>0</v>
      </c>
      <c r="AU29" s="138" t="s">
        <v>20</v>
      </c>
      <c r="AV29" s="87">
        <f>AV16+1</f>
        <v>2016</v>
      </c>
      <c r="AW29" s="107">
        <f>SUM(AW17:AW28)</f>
        <v>0</v>
      </c>
      <c r="AX29" s="107">
        <f>SUM(AX17:AX28)</f>
        <v>0</v>
      </c>
      <c r="AY29" s="107">
        <f>SUM(AY17:AY28)</f>
        <v>0</v>
      </c>
      <c r="AZ29" s="107">
        <f>SUM(AZ17:AZ28)</f>
        <v>0</v>
      </c>
      <c r="BA29" s="107">
        <f>BA28</f>
        <v>0</v>
      </c>
      <c r="BC29" s="138" t="s">
        <v>20</v>
      </c>
      <c r="BD29" s="87">
        <f>BD16+1</f>
        <v>2016</v>
      </c>
      <c r="BE29" s="107">
        <f>SUM(BE17:BE28)</f>
        <v>0</v>
      </c>
      <c r="BF29" s="107">
        <f>SUM(BF17:BF28)</f>
        <v>0</v>
      </c>
      <c r="BG29" s="107">
        <f>SUM(BG17:BG28)</f>
        <v>0</v>
      </c>
      <c r="BH29" s="107">
        <f>SUM(BH17:BH28)</f>
        <v>0</v>
      </c>
      <c r="BI29" s="107">
        <f>BI28</f>
        <v>0</v>
      </c>
      <c r="BK29" s="138" t="s">
        <v>20</v>
      </c>
      <c r="BL29" s="87">
        <f>BL16+1</f>
        <v>2016</v>
      </c>
      <c r="BM29" s="107">
        <f>SUM(BM17:BM28)</f>
        <v>0</v>
      </c>
      <c r="BN29" s="107">
        <f>SUM(BN17:BN28)</f>
        <v>0</v>
      </c>
      <c r="BO29" s="107">
        <f>SUM(BO17:BO28)</f>
        <v>0</v>
      </c>
      <c r="BP29" s="107">
        <f>SUM(BP17:BP28)</f>
        <v>0</v>
      </c>
      <c r="BQ29" s="107">
        <f>BQ28</f>
        <v>0</v>
      </c>
      <c r="BS29" s="138" t="s">
        <v>20</v>
      </c>
      <c r="BT29" s="87">
        <f>BT16+1</f>
        <v>2016</v>
      </c>
      <c r="BU29" s="107">
        <f>SUM(BU17:BU28)</f>
        <v>0</v>
      </c>
      <c r="BV29" s="107">
        <f>SUM(BV17:BV28)</f>
        <v>0</v>
      </c>
      <c r="BW29" s="107">
        <f>SUM(BW17:BW28)</f>
        <v>0</v>
      </c>
      <c r="BX29" s="107">
        <f>SUM(BX17:BX28)</f>
        <v>0</v>
      </c>
      <c r="BY29" s="107">
        <f>BY28</f>
        <v>0</v>
      </c>
      <c r="CA29" s="138" t="s">
        <v>20</v>
      </c>
      <c r="CB29" s="87">
        <f>CB16+1</f>
        <v>2016</v>
      </c>
      <c r="CC29" s="107">
        <f>SUM(CC17:CC28)</f>
        <v>0</v>
      </c>
      <c r="CD29" s="107">
        <f>SUM(CD17:CD28)</f>
        <v>0</v>
      </c>
      <c r="CE29" s="107">
        <f>SUM(CE17:CE28)</f>
        <v>0</v>
      </c>
      <c r="CF29" s="107">
        <f>SUM(CF17:CF28)</f>
        <v>0</v>
      </c>
      <c r="CG29" s="107">
        <f>CG28</f>
        <v>0</v>
      </c>
      <c r="CI29" s="138" t="s">
        <v>20</v>
      </c>
      <c r="CJ29" s="87">
        <f>CJ16+1</f>
        <v>2016</v>
      </c>
      <c r="CK29" s="107">
        <f>SUM(CK17:CK28)</f>
        <v>0</v>
      </c>
      <c r="CL29" s="107">
        <f>SUM(CL17:CL28)</f>
        <v>0</v>
      </c>
      <c r="CM29" s="107">
        <f>SUM(CM17:CM28)</f>
        <v>0</v>
      </c>
      <c r="CN29" s="107">
        <f>SUM(CN17:CN28)</f>
        <v>0</v>
      </c>
      <c r="CO29" s="107">
        <f>CO28</f>
        <v>0</v>
      </c>
      <c r="CQ29" s="138" t="s">
        <v>20</v>
      </c>
      <c r="CR29" s="87">
        <f>CR16+1</f>
        <v>2016</v>
      </c>
      <c r="CS29" s="107">
        <f>SUM(CS17:CS28)</f>
        <v>56958.053957243785</v>
      </c>
      <c r="CT29" s="107">
        <f>SUM(CT17:CT28)</f>
        <v>49101.770652796367</v>
      </c>
      <c r="CU29" s="107">
        <f>SUM(CU17:CU28)</f>
        <v>38532.76673057388</v>
      </c>
      <c r="CV29" s="107">
        <f>SUM(CV17:CV28)</f>
        <v>18425.287226669898</v>
      </c>
      <c r="CW29" s="107">
        <f>CW28</f>
        <v>179241.68220142589</v>
      </c>
      <c r="CZ29" s="78">
        <v>42705</v>
      </c>
      <c r="DA29" s="142">
        <f>IF(DO28&gt;=DA28,0,U28*(1+'[6]Assets to be Leased'!$B$9))</f>
        <v>0</v>
      </c>
      <c r="DB29" s="143">
        <f>IF(DO28&gt;=DB28,0,AC28*(1+'[6]Assets to be Leased'!$B$9))</f>
        <v>0</v>
      </c>
      <c r="DC29" s="143">
        <f>IF(DO28&gt;=DC28,0,AK28*(1+'[6]Assets to be Leased'!$B$9))</f>
        <v>0</v>
      </c>
      <c r="DD29" s="144" t="str">
        <f>IF(AS28="","",AS28*(1+'[6]Assets to be Leased'!$B$9))</f>
        <v/>
      </c>
      <c r="DE29" s="144">
        <f>BA28*(1+'[6]Assets to be Leased'!$B$9)</f>
        <v>0</v>
      </c>
      <c r="DF29" s="144">
        <f>BI28*(1+'[6]Assets to be Leased'!$B$9)</f>
        <v>0</v>
      </c>
      <c r="DG29" s="144">
        <f>BQ28*(1+'[6]Assets to be Leased'!$B$9)</f>
        <v>0</v>
      </c>
      <c r="DH29" s="144">
        <f>BY28*(1+'[6]Assets to be Leased'!$B$9)</f>
        <v>0</v>
      </c>
      <c r="DI29" s="144">
        <f>CG28*(1+'[6]Assets to be Leased'!$B$9)</f>
        <v>0</v>
      </c>
      <c r="DJ29" s="144">
        <f>CO28*(1+'[6]Assets to be Leased'!$B$9)</f>
        <v>0</v>
      </c>
      <c r="DK29" s="176">
        <f>CW28*(1+'[6]Assets to be Leased'!$B$9)</f>
        <v>207920.35135365403</v>
      </c>
      <c r="DL29" s="176">
        <f t="shared" si="27"/>
        <v>207920.35135365403</v>
      </c>
      <c r="DM29" s="161">
        <f t="array" ref="DM29">IFERROR(SMALL(IF(DA29:DC29&gt;0,DA29:DC29),1),0)</f>
        <v>0</v>
      </c>
      <c r="DN29" s="78">
        <v>42705</v>
      </c>
      <c r="DO29" s="169">
        <f>IF(DS28+DR29&gt;DM29,HLOOKUP(DM29,DA29:$DL$82,1,FALSE),0)</f>
        <v>0</v>
      </c>
      <c r="DP29" s="68"/>
      <c r="DQ29" s="68">
        <v>10000</v>
      </c>
      <c r="DR29" s="68">
        <f t="shared" si="33"/>
        <v>10000</v>
      </c>
      <c r="DS29" s="170">
        <f t="shared" si="34"/>
        <v>40000</v>
      </c>
      <c r="DU29" s="1758"/>
      <c r="DV29" s="1759"/>
      <c r="DW29" s="1759"/>
      <c r="DX29" s="1759"/>
      <c r="DY29" s="1759"/>
      <c r="DZ29" s="1760"/>
      <c r="EA29" s="203"/>
      <c r="EB29" s="203"/>
      <c r="EC29" s="203"/>
    </row>
    <row r="30" spans="1:134">
      <c r="A30" s="1784"/>
      <c r="B30" s="23" t="s">
        <v>68</v>
      </c>
      <c r="C30" s="9">
        <f>C28-C29</f>
        <v>0</v>
      </c>
      <c r="D30" s="9">
        <f>D28-D29</f>
        <v>0</v>
      </c>
      <c r="E30" s="9">
        <f>E28-E29</f>
        <v>0</v>
      </c>
      <c r="F30" s="9">
        <f t="shared" ref="F30:L30" si="35">F28-F29</f>
        <v>0</v>
      </c>
      <c r="G30" s="9">
        <f t="shared" si="35"/>
        <v>0</v>
      </c>
      <c r="H30" s="9">
        <f t="shared" si="35"/>
        <v>0</v>
      </c>
      <c r="I30" s="9">
        <f t="shared" si="35"/>
        <v>0</v>
      </c>
      <c r="J30" s="9">
        <f t="shared" si="35"/>
        <v>0</v>
      </c>
      <c r="K30" s="9">
        <f t="shared" si="35"/>
        <v>0</v>
      </c>
      <c r="L30" s="22">
        <f t="shared" si="35"/>
        <v>0</v>
      </c>
      <c r="M30" s="12"/>
      <c r="O30" s="116">
        <f>IF(AND(Q30&gt;0,O28&gt;=0),O28+1,0)</f>
        <v>0</v>
      </c>
      <c r="P30" s="78">
        <v>42736</v>
      </c>
      <c r="Q30" s="95"/>
      <c r="R30" s="80"/>
      <c r="S30" s="95"/>
      <c r="T30" s="80"/>
      <c r="U30" s="80"/>
      <c r="V30" s="86"/>
      <c r="W30" s="116">
        <f>IF(AND(Y30&gt;0,W28&gt;=0),W28+1,0)</f>
        <v>0</v>
      </c>
      <c r="X30" s="78">
        <v>42736</v>
      </c>
      <c r="Y30" s="104"/>
      <c r="Z30" s="105"/>
      <c r="AA30" s="104"/>
      <c r="AB30" s="105"/>
      <c r="AC30" s="105"/>
      <c r="AE30" s="116">
        <f>IF(AND(AG30&gt;0,AE28&gt;=0),AE28+1,0)</f>
        <v>0</v>
      </c>
      <c r="AF30" s="78">
        <v>42736</v>
      </c>
      <c r="AG30" s="3"/>
      <c r="AH30" s="5"/>
      <c r="AI30" s="68"/>
      <c r="AJ30" s="6"/>
      <c r="AK30" s="6"/>
      <c r="AM30" s="116">
        <f>IF(AND(AO30&gt;0,AM28&gt;=0),AM28+1,0)</f>
        <v>0</v>
      </c>
      <c r="AN30" s="78">
        <v>42736</v>
      </c>
      <c r="AO30" s="3"/>
      <c r="AP30" s="5"/>
      <c r="AQ30" s="68"/>
      <c r="AR30" s="6"/>
      <c r="AS30" s="6"/>
      <c r="AU30" s="116">
        <f>IF(AND(AW30&gt;0,AU28&gt;=0),AU28+1,0)</f>
        <v>0</v>
      </c>
      <c r="AV30" s="78">
        <v>42736</v>
      </c>
      <c r="AW30" s="3"/>
      <c r="AX30" s="5"/>
      <c r="AY30" s="68"/>
      <c r="AZ30" s="6"/>
      <c r="BA30" s="6"/>
      <c r="BC30" s="116">
        <f>IF(AND(BE30&gt;0,BC28&gt;=0),BC28+1,0)</f>
        <v>0</v>
      </c>
      <c r="BD30" s="78">
        <v>42736</v>
      </c>
      <c r="BE30" s="3"/>
      <c r="BF30" s="5"/>
      <c r="BG30" s="68"/>
      <c r="BH30" s="6"/>
      <c r="BI30" s="6"/>
      <c r="BK30" s="116">
        <f>IF(AND(BM30&gt;0,BK28&gt;=0),BK28+1,0)</f>
        <v>0</v>
      </c>
      <c r="BL30" s="78">
        <v>42736</v>
      </c>
      <c r="BM30" s="3"/>
      <c r="BN30" s="5"/>
      <c r="BO30" s="68"/>
      <c r="BP30" s="6"/>
      <c r="BQ30" s="6"/>
      <c r="BS30" s="116">
        <f>IF(AND(BU30&gt;0,BS28&gt;=0),BS28+1,0)</f>
        <v>0</v>
      </c>
      <c r="BT30" s="78">
        <v>42736</v>
      </c>
      <c r="BU30" s="3"/>
      <c r="BV30" s="5"/>
      <c r="BW30" s="68"/>
      <c r="BX30" s="6"/>
      <c r="BY30" s="6"/>
      <c r="CA30" s="116">
        <f>IF(AND(CC30&gt;0,CA28&gt;=0),CA28+1,0)</f>
        <v>0</v>
      </c>
      <c r="CB30" s="78">
        <v>42736</v>
      </c>
      <c r="CC30" s="3"/>
      <c r="CD30" s="5"/>
      <c r="CE30" s="68"/>
      <c r="CF30" s="6"/>
      <c r="CG30" s="6"/>
      <c r="CI30" s="116">
        <f>IF(AND(CK30&gt;0,CI28&gt;=0),CI28+1,0)</f>
        <v>0</v>
      </c>
      <c r="CJ30" s="78">
        <v>42736</v>
      </c>
      <c r="CK30" s="3"/>
      <c r="CL30" s="5"/>
      <c r="CM30" s="68"/>
      <c r="CN30" s="6"/>
      <c r="CO30" s="6"/>
      <c r="CQ30" s="116">
        <f>IF(AND(CS30&gt;0,CQ28&gt;=0),CQ28+1,0)</f>
        <v>0</v>
      </c>
      <c r="CR30" s="78">
        <v>42736</v>
      </c>
      <c r="CS30" s="3">
        <f>[6]IRR!AL24</f>
        <v>0</v>
      </c>
      <c r="CT30" s="5">
        <f>CS30/(1+'[6]Assets to be Leased'!$B$9)</f>
        <v>0</v>
      </c>
      <c r="CU30" s="68"/>
      <c r="CV30" s="6">
        <f>[6]IRR!AO24</f>
        <v>1879.5897168970096</v>
      </c>
      <c r="CW30" s="6">
        <f>[6]IRR!AP24/(1+'[6]Assets to be Leased'!$B$9)</f>
        <v>180862.01816426814</v>
      </c>
      <c r="CZ30" s="155">
        <f>CZ17+1</f>
        <v>2016</v>
      </c>
      <c r="DA30" s="142">
        <f>IF(DO29&gt;=DA29,0,U29*(1+'[6]Assets to be Leased'!$B$9))</f>
        <v>0</v>
      </c>
      <c r="DB30" s="143">
        <f>IF(DO29&gt;=DB29,0,AC29*(1+'[6]Assets to be Leased'!$B$9))</f>
        <v>0</v>
      </c>
      <c r="DC30" s="143">
        <f>IF(DO29&gt;=DC29,0,AK29*(1+'[6]Assets to be Leased'!$B$9))</f>
        <v>0</v>
      </c>
      <c r="DD30" s="144">
        <f>IF(AS29="","",AS29*(1+'[6]Assets to be Leased'!$B$9))</f>
        <v>0</v>
      </c>
      <c r="DE30" s="144">
        <f>BA29*(1+'[6]Assets to be Leased'!$B$9)</f>
        <v>0</v>
      </c>
      <c r="DF30" s="144">
        <f>BI29*(1+'[6]Assets to be Leased'!$B$9)</f>
        <v>0</v>
      </c>
      <c r="DG30" s="144">
        <f>BQ29*(1+'[6]Assets to be Leased'!$B$9)</f>
        <v>0</v>
      </c>
      <c r="DH30" s="144">
        <f>BY29*(1+'[6]Assets to be Leased'!$B$9)</f>
        <v>0</v>
      </c>
      <c r="DI30" s="144">
        <f>CG29*(1+'[6]Assets to be Leased'!$B$9)</f>
        <v>0</v>
      </c>
      <c r="DJ30" s="144">
        <f>CO29*(1+'[6]Assets to be Leased'!$B$9)</f>
        <v>0</v>
      </c>
      <c r="DK30" s="176">
        <f>CW29*(1+'[6]Assets to be Leased'!$B$9)</f>
        <v>207920.35135365403</v>
      </c>
      <c r="DL30" s="176">
        <f t="shared" si="27"/>
        <v>207920.35135365403</v>
      </c>
      <c r="DM30" s="161">
        <f t="array" ref="DM30">IFERROR(SMALL(IF(DA30:DC30&gt;0,DA30:DC30),1),0)</f>
        <v>0</v>
      </c>
      <c r="DN30" s="155">
        <f>DN17+1</f>
        <v>2016</v>
      </c>
      <c r="DO30" s="169">
        <f>IF(DS29+DR30&gt;DM30,HLOOKUP(DM30,DA30:$DL$82,1,FALSE),0)</f>
        <v>0</v>
      </c>
      <c r="DP30" s="68"/>
      <c r="DQ30" s="204"/>
      <c r="DR30" s="68"/>
      <c r="DS30" s="170"/>
      <c r="DU30" s="1758"/>
      <c r="DV30" s="1759"/>
      <c r="DW30" s="1759"/>
      <c r="DX30" s="1759"/>
      <c r="DY30" s="1759"/>
      <c r="DZ30" s="1760"/>
      <c r="EA30" s="203"/>
      <c r="EB30" s="203"/>
      <c r="EC30" s="203"/>
    </row>
    <row r="31" spans="1:134">
      <c r="A31" s="1784"/>
      <c r="B31" s="23" t="s">
        <v>54</v>
      </c>
      <c r="C31" s="63">
        <f>T29</f>
        <v>0</v>
      </c>
      <c r="D31" s="8">
        <f>T42</f>
        <v>0</v>
      </c>
      <c r="E31" s="8">
        <f>T55</f>
        <v>0</v>
      </c>
      <c r="F31" s="9">
        <f>T68</f>
        <v>0</v>
      </c>
      <c r="G31" s="9">
        <f>T81</f>
        <v>0</v>
      </c>
      <c r="H31" s="9">
        <f>T94</f>
        <v>0</v>
      </c>
      <c r="I31" s="9">
        <f>T107</f>
        <v>0</v>
      </c>
      <c r="J31" s="9">
        <f>T120</f>
        <v>0</v>
      </c>
      <c r="K31" s="9">
        <f>T133</f>
        <v>0</v>
      </c>
      <c r="L31" s="22">
        <f>T146</f>
        <v>0</v>
      </c>
      <c r="M31" s="12"/>
      <c r="O31" s="116">
        <f t="shared" ref="O31:O41" si="36">IF(AND(Q31&gt;0,O30&gt;=0),O30+1,0)</f>
        <v>0</v>
      </c>
      <c r="P31" s="78">
        <v>42767</v>
      </c>
      <c r="Q31" s="95"/>
      <c r="R31" s="80"/>
      <c r="S31" s="95"/>
      <c r="T31" s="80"/>
      <c r="U31" s="79"/>
      <c r="V31" s="86"/>
      <c r="W31" s="116">
        <f t="shared" ref="W31:W41" si="37">IF(AND(Y31&gt;0,W30&gt;=0),W30+1,0)</f>
        <v>0</v>
      </c>
      <c r="X31" s="78">
        <v>42767</v>
      </c>
      <c r="Y31" s="104"/>
      <c r="Z31" s="105"/>
      <c r="AA31" s="104"/>
      <c r="AB31" s="105"/>
      <c r="AC31" s="105"/>
      <c r="AE31" s="116">
        <f t="shared" ref="AE31:AE41" si="38">IF(AND(AG31&gt;0,AE30&gt;=0),AE30+1,0)</f>
        <v>0</v>
      </c>
      <c r="AF31" s="78">
        <v>42767</v>
      </c>
      <c r="AG31" s="3"/>
      <c r="AH31" s="5"/>
      <c r="AI31" s="68"/>
      <c r="AJ31" s="6"/>
      <c r="AK31" s="6"/>
      <c r="AM31" s="116">
        <f t="shared" ref="AM31:AM41" si="39">IF(AND(AO31&gt;0,AM30&gt;=0),AM30+1,0)</f>
        <v>0</v>
      </c>
      <c r="AN31" s="78">
        <v>42767</v>
      </c>
      <c r="AO31" s="3"/>
      <c r="AP31" s="5"/>
      <c r="AQ31" s="68"/>
      <c r="AR31" s="6"/>
      <c r="AS31" s="6"/>
      <c r="AU31" s="116">
        <f t="shared" ref="AU31:AU41" si="40">IF(AND(AW31&gt;0,AU30&gt;=0),AU30+1,0)</f>
        <v>0</v>
      </c>
      <c r="AV31" s="78">
        <v>42767</v>
      </c>
      <c r="AW31" s="3"/>
      <c r="AX31" s="5"/>
      <c r="AY31" s="68"/>
      <c r="AZ31" s="6"/>
      <c r="BA31" s="6"/>
      <c r="BC31" s="116">
        <f t="shared" ref="BC31:BC41" si="41">IF(AND(BE31&gt;0,BC30&gt;=0),BC30+1,0)</f>
        <v>0</v>
      </c>
      <c r="BD31" s="78">
        <v>42767</v>
      </c>
      <c r="BE31" s="3"/>
      <c r="BF31" s="5"/>
      <c r="BG31" s="68"/>
      <c r="BH31" s="6"/>
      <c r="BI31" s="6"/>
      <c r="BK31" s="116">
        <f t="shared" ref="BK31:BK41" si="42">IF(AND(BM31&gt;0,BK30&gt;=0),BK30+1,0)</f>
        <v>0</v>
      </c>
      <c r="BL31" s="78">
        <v>42767</v>
      </c>
      <c r="BM31" s="3"/>
      <c r="BN31" s="5"/>
      <c r="BO31" s="68"/>
      <c r="BP31" s="6"/>
      <c r="BQ31" s="6"/>
      <c r="BS31" s="116">
        <f t="shared" ref="BS31:BS41" si="43">IF(AND(BU31&gt;0,BS30&gt;=0),BS30+1,0)</f>
        <v>0</v>
      </c>
      <c r="BT31" s="78">
        <v>42767</v>
      </c>
      <c r="BU31" s="3"/>
      <c r="BV31" s="5"/>
      <c r="BW31" s="68"/>
      <c r="BX31" s="6"/>
      <c r="BY31" s="6"/>
      <c r="CA31" s="116">
        <f t="shared" ref="CA31:CA41" si="44">IF(AND(CC31&gt;0,CA30&gt;=0),CA30+1,0)</f>
        <v>0</v>
      </c>
      <c r="CB31" s="78">
        <v>42767</v>
      </c>
      <c r="CC31" s="3"/>
      <c r="CD31" s="5"/>
      <c r="CE31" s="68"/>
      <c r="CF31" s="6"/>
      <c r="CG31" s="6"/>
      <c r="CI31" s="116">
        <f t="shared" ref="CI31:CI41" si="45">IF(AND(CK31&gt;0,CI30&gt;=0),CI30+1,0)</f>
        <v>0</v>
      </c>
      <c r="CJ31" s="78">
        <v>42767</v>
      </c>
      <c r="CK31" s="3"/>
      <c r="CL31" s="5"/>
      <c r="CM31" s="68"/>
      <c r="CN31" s="6"/>
      <c r="CO31" s="6"/>
      <c r="CQ31" s="116">
        <f t="shared" ref="CQ31:CQ41" si="46">IF(AND(CS31&gt;0,CQ30&gt;=0),CQ30+1,0)</f>
        <v>0</v>
      </c>
      <c r="CR31" s="78">
        <v>42767</v>
      </c>
      <c r="CS31" s="3">
        <f>[6]IRR!AL25</f>
        <v>0</v>
      </c>
      <c r="CT31" s="5">
        <f>CS31/(1+'[6]Assets to be Leased'!$B$9)</f>
        <v>0</v>
      </c>
      <c r="CU31" s="68"/>
      <c r="CV31" s="6">
        <f>[6]IRR!AO25</f>
        <v>1896.5811151938308</v>
      </c>
      <c r="CW31" s="6">
        <f>[6]IRR!AP25/(1+'[6]Assets to be Leased'!$B$9)</f>
        <v>182497.00188426283</v>
      </c>
      <c r="CZ31" s="78">
        <v>42736</v>
      </c>
      <c r="DA31" s="142">
        <f>IF(DO30&gt;=DA30,0,U30*(1+'[6]Assets to be Leased'!$B$9))</f>
        <v>0</v>
      </c>
      <c r="DB31" s="143">
        <f>IF(DO30&gt;=DB30,0,AC30*(1+'[6]Assets to be Leased'!$B$9))</f>
        <v>0</v>
      </c>
      <c r="DC31" s="143">
        <f>IF(DO30&gt;=DC30,0,AK30*(1+'[6]Assets to be Leased'!$B$9))</f>
        <v>0</v>
      </c>
      <c r="DD31" s="144" t="str">
        <f>IF(AS30="","",AS30*(1+'[6]Assets to be Leased'!$B$9))</f>
        <v/>
      </c>
      <c r="DE31" s="144">
        <f>BA30*(1+'[6]Assets to be Leased'!$B$9)</f>
        <v>0</v>
      </c>
      <c r="DF31" s="144">
        <f>BI30*(1+'[6]Assets to be Leased'!$B$9)</f>
        <v>0</v>
      </c>
      <c r="DG31" s="144">
        <f>BQ30*(1+'[6]Assets to be Leased'!$B$9)</f>
        <v>0</v>
      </c>
      <c r="DH31" s="144">
        <f>BY30*(1+'[6]Assets to be Leased'!$B$9)</f>
        <v>0</v>
      </c>
      <c r="DI31" s="144">
        <f>CG30*(1+'[6]Assets to be Leased'!$B$9)</f>
        <v>0</v>
      </c>
      <c r="DJ31" s="144">
        <f>CO30*(1+'[6]Assets to be Leased'!$B$9)</f>
        <v>0</v>
      </c>
      <c r="DK31" s="176">
        <f>CW30*(1+'[6]Assets to be Leased'!$B$9)</f>
        <v>209799.94107055102</v>
      </c>
      <c r="DL31" s="176">
        <f t="shared" si="27"/>
        <v>209799.94107055102</v>
      </c>
      <c r="DM31" s="161">
        <f t="array" ref="DM31">IFERROR(SMALL(IF(DA31:DC31&gt;0,DA31:DC31),1),0)</f>
        <v>0</v>
      </c>
      <c r="DN31" s="78">
        <v>42736</v>
      </c>
      <c r="DO31" s="169">
        <f>IF(DS30+DR31&gt;DM31,HLOOKUP(DM31,DA31:$DL$82,1,FALSE),0)</f>
        <v>0</v>
      </c>
      <c r="DP31" s="68"/>
      <c r="DQ31" s="68">
        <v>10000</v>
      </c>
      <c r="DR31" s="68">
        <f t="shared" ref="DR31:DR42" si="47">SUM(DP31:DQ31)</f>
        <v>10000</v>
      </c>
      <c r="DS31" s="170">
        <f>DS29+DR31-DO31</f>
        <v>50000</v>
      </c>
      <c r="DU31" s="1758"/>
      <c r="DV31" s="1759"/>
      <c r="DW31" s="1759"/>
      <c r="DX31" s="1759"/>
      <c r="DY31" s="1759"/>
      <c r="DZ31" s="1760"/>
      <c r="EA31" s="203"/>
      <c r="EB31" s="203"/>
      <c r="EC31" s="203"/>
    </row>
    <row r="32" spans="1:134">
      <c r="A32" s="1784"/>
      <c r="B32" s="23" t="s">
        <v>63</v>
      </c>
      <c r="C32" s="8">
        <f>S42</f>
        <v>0</v>
      </c>
      <c r="D32" s="8">
        <f>S55</f>
        <v>0</v>
      </c>
      <c r="E32" s="8">
        <f>S68</f>
        <v>0</v>
      </c>
      <c r="F32" s="8">
        <f>S81</f>
        <v>0</v>
      </c>
      <c r="G32" s="8">
        <f>S94</f>
        <v>0</v>
      </c>
      <c r="H32" s="8">
        <f>S107</f>
        <v>0</v>
      </c>
      <c r="I32" s="8">
        <f>S120</f>
        <v>0</v>
      </c>
      <c r="J32" s="8">
        <f>S133</f>
        <v>0</v>
      </c>
      <c r="K32" s="8">
        <f>S146</f>
        <v>0</v>
      </c>
      <c r="L32" s="62"/>
      <c r="M32" s="12"/>
      <c r="O32" s="116">
        <f t="shared" si="36"/>
        <v>0</v>
      </c>
      <c r="P32" s="78">
        <v>42795</v>
      </c>
      <c r="Q32" s="95"/>
      <c r="R32" s="80"/>
      <c r="S32" s="95"/>
      <c r="T32" s="80"/>
      <c r="U32" s="80"/>
      <c r="V32" s="86"/>
      <c r="W32" s="116">
        <f t="shared" si="37"/>
        <v>0</v>
      </c>
      <c r="X32" s="78">
        <v>42795</v>
      </c>
      <c r="Y32" s="104"/>
      <c r="Z32" s="105"/>
      <c r="AA32" s="104"/>
      <c r="AB32" s="105"/>
      <c r="AC32" s="105"/>
      <c r="AE32" s="116">
        <f t="shared" si="38"/>
        <v>0</v>
      </c>
      <c r="AF32" s="78">
        <v>42795</v>
      </c>
      <c r="AG32" s="3"/>
      <c r="AH32" s="5"/>
      <c r="AI32" s="68"/>
      <c r="AJ32" s="6"/>
      <c r="AK32" s="6"/>
      <c r="AM32" s="116">
        <f t="shared" si="39"/>
        <v>0</v>
      </c>
      <c r="AN32" s="78">
        <v>42795</v>
      </c>
      <c r="AO32" s="3"/>
      <c r="AP32" s="5"/>
      <c r="AQ32" s="68"/>
      <c r="AR32" s="6"/>
      <c r="AS32" s="6"/>
      <c r="AU32" s="116">
        <f t="shared" si="40"/>
        <v>0</v>
      </c>
      <c r="AV32" s="78">
        <v>42795</v>
      </c>
      <c r="AW32" s="3"/>
      <c r="AX32" s="5"/>
      <c r="AY32" s="68"/>
      <c r="AZ32" s="6"/>
      <c r="BA32" s="6"/>
      <c r="BC32" s="116">
        <f t="shared" si="41"/>
        <v>0</v>
      </c>
      <c r="BD32" s="78">
        <v>42795</v>
      </c>
      <c r="BE32" s="3"/>
      <c r="BF32" s="5"/>
      <c r="BG32" s="68"/>
      <c r="BH32" s="6"/>
      <c r="BI32" s="6"/>
      <c r="BK32" s="116">
        <f t="shared" si="42"/>
        <v>0</v>
      </c>
      <c r="BL32" s="78">
        <v>42795</v>
      </c>
      <c r="BM32" s="3"/>
      <c r="BN32" s="5"/>
      <c r="BO32" s="68"/>
      <c r="BP32" s="6"/>
      <c r="BQ32" s="6"/>
      <c r="BS32" s="116">
        <f t="shared" si="43"/>
        <v>0</v>
      </c>
      <c r="BT32" s="78">
        <v>42795</v>
      </c>
      <c r="BU32" s="3"/>
      <c r="BV32" s="5"/>
      <c r="BW32" s="68"/>
      <c r="BX32" s="6"/>
      <c r="BY32" s="6"/>
      <c r="CA32" s="116">
        <f t="shared" si="44"/>
        <v>0</v>
      </c>
      <c r="CB32" s="78">
        <v>42795</v>
      </c>
      <c r="CC32" s="3"/>
      <c r="CD32" s="5"/>
      <c r="CE32" s="68"/>
      <c r="CF32" s="6"/>
      <c r="CG32" s="6"/>
      <c r="CI32" s="116">
        <f t="shared" si="45"/>
        <v>0</v>
      </c>
      <c r="CJ32" s="78">
        <v>42795</v>
      </c>
      <c r="CK32" s="3"/>
      <c r="CL32" s="5"/>
      <c r="CM32" s="68"/>
      <c r="CN32" s="6"/>
      <c r="CO32" s="6"/>
      <c r="CQ32" s="116">
        <f t="shared" si="46"/>
        <v>1</v>
      </c>
      <c r="CR32" s="78">
        <v>42795</v>
      </c>
      <c r="CS32" s="3">
        <f>[6]IRR!AL26</f>
        <v>7119.7567446554722</v>
      </c>
      <c r="CT32" s="5">
        <f>CS32/(1+'[6]Assets to be Leased'!$B$9)</f>
        <v>6137.721331599545</v>
      </c>
      <c r="CU32" s="68"/>
      <c r="CV32" s="6">
        <f>[6]IRR!AO26</f>
        <v>1913.7261148928553</v>
      </c>
      <c r="CW32" s="6">
        <f>[6]IRR!AP26/(1+'[6]Assets to be Leased'!$B$9)</f>
        <v>178009.04444481229</v>
      </c>
      <c r="CZ32" s="78">
        <v>42767</v>
      </c>
      <c r="DA32" s="142">
        <f>IF(DO31&gt;=DA31,0,U31*(1+'[6]Assets to be Leased'!$B$9))</f>
        <v>0</v>
      </c>
      <c r="DB32" s="143">
        <f>IF(DO31&gt;=DB31,0,AC31*(1+'[6]Assets to be Leased'!$B$9))</f>
        <v>0</v>
      </c>
      <c r="DC32" s="143">
        <f>IF(DO31&gt;=DC31,0,AK31*(1+'[6]Assets to be Leased'!$B$9))</f>
        <v>0</v>
      </c>
      <c r="DD32" s="144" t="str">
        <f>IF(AS31="","",AS31*(1+'[6]Assets to be Leased'!$B$9))</f>
        <v/>
      </c>
      <c r="DE32" s="144">
        <f>BA31*(1+'[6]Assets to be Leased'!$B$9)</f>
        <v>0</v>
      </c>
      <c r="DF32" s="144">
        <f>BI31*(1+'[6]Assets to be Leased'!$B$9)</f>
        <v>0</v>
      </c>
      <c r="DG32" s="144">
        <f>BQ31*(1+'[6]Assets to be Leased'!$B$9)</f>
        <v>0</v>
      </c>
      <c r="DH32" s="144">
        <f>BY31*(1+'[6]Assets to be Leased'!$B$9)</f>
        <v>0</v>
      </c>
      <c r="DI32" s="144">
        <f>CG31*(1+'[6]Assets to be Leased'!$B$9)</f>
        <v>0</v>
      </c>
      <c r="DJ32" s="144">
        <f>CO31*(1+'[6]Assets to be Leased'!$B$9)</f>
        <v>0</v>
      </c>
      <c r="DK32" s="176">
        <f>CW31*(1+'[6]Assets to be Leased'!$B$9)</f>
        <v>211696.52218574486</v>
      </c>
      <c r="DL32" s="176">
        <f t="shared" si="27"/>
        <v>211696.52218574486</v>
      </c>
      <c r="DM32" s="161">
        <f t="array" ref="DM32">IFERROR(SMALL(IF(DA32:DC32&gt;0,DA32:DC32),1),0)</f>
        <v>0</v>
      </c>
      <c r="DN32" s="78">
        <v>42767</v>
      </c>
      <c r="DO32" s="169">
        <f>IF(DS31+DR32&gt;DM32,HLOOKUP(DM32,DA32:$DL$82,1,FALSE),0)</f>
        <v>0</v>
      </c>
      <c r="DP32" s="68"/>
      <c r="DQ32" s="68">
        <v>10000</v>
      </c>
      <c r="DR32" s="68">
        <f t="shared" si="47"/>
        <v>10000</v>
      </c>
      <c r="DS32" s="170">
        <f t="shared" ref="DS32:DS42" si="48">DS31+DR32-DO32</f>
        <v>60000</v>
      </c>
      <c r="DU32" s="1758"/>
      <c r="DV32" s="1759"/>
      <c r="DW32" s="1759"/>
      <c r="DX32" s="1759"/>
      <c r="DY32" s="1759"/>
      <c r="DZ32" s="1760"/>
      <c r="EA32" s="203"/>
      <c r="EB32" s="203"/>
      <c r="EC32" s="203"/>
    </row>
    <row r="33" spans="1:133">
      <c r="A33" s="1785"/>
      <c r="B33" s="64" t="s">
        <v>64</v>
      </c>
      <c r="C33" s="61">
        <f>IF(U29-C32&lt;0,0,U29-C32)</f>
        <v>0</v>
      </c>
      <c r="D33" s="61">
        <f>IF(U42-D32&lt;0,0,U42-D32)</f>
        <v>0</v>
      </c>
      <c r="E33" s="61">
        <f>IF(U55-E32&lt;0,0,U55-E32)</f>
        <v>0</v>
      </c>
      <c r="F33" s="61">
        <f>IF(U68-F32&lt;0,0,U68-F32)</f>
        <v>0</v>
      </c>
      <c r="G33" s="61">
        <f>IF(U81-G32&lt;0,0,U81-G32)</f>
        <v>0</v>
      </c>
      <c r="H33" s="61">
        <f>IF(U94-H32&lt;0,0,U94-H32)</f>
        <v>0</v>
      </c>
      <c r="I33" s="61">
        <f>IF(U107-I32&lt;0,0,U107-I32)</f>
        <v>0</v>
      </c>
      <c r="J33" s="61">
        <f>IF(U120-J32&lt;0,0,U120-J32)</f>
        <v>0</v>
      </c>
      <c r="K33" s="61">
        <f>IF(U133-K32&lt;0,0,U133-K32)</f>
        <v>0</v>
      </c>
      <c r="L33" s="65">
        <f>IF(U146-L32&lt;0,0,U146-L32)</f>
        <v>0</v>
      </c>
      <c r="M33" s="12"/>
      <c r="O33" s="116">
        <f t="shared" si="36"/>
        <v>0</v>
      </c>
      <c r="P33" s="78">
        <v>42826</v>
      </c>
      <c r="Q33" s="95"/>
      <c r="R33" s="80"/>
      <c r="S33" s="95"/>
      <c r="T33" s="80"/>
      <c r="U33" s="80"/>
      <c r="V33" s="86"/>
      <c r="W33" s="116">
        <f t="shared" si="37"/>
        <v>0</v>
      </c>
      <c r="X33" s="78">
        <v>42826</v>
      </c>
      <c r="Y33" s="104"/>
      <c r="Z33" s="105"/>
      <c r="AA33" s="104"/>
      <c r="AB33" s="105"/>
      <c r="AC33" s="105"/>
      <c r="AE33" s="116">
        <f t="shared" si="38"/>
        <v>0</v>
      </c>
      <c r="AF33" s="78">
        <v>42826</v>
      </c>
      <c r="AG33" s="3"/>
      <c r="AH33" s="5"/>
      <c r="AI33" s="68"/>
      <c r="AJ33" s="6"/>
      <c r="AK33" s="6"/>
      <c r="AM33" s="116">
        <f t="shared" si="39"/>
        <v>0</v>
      </c>
      <c r="AN33" s="78">
        <v>42826</v>
      </c>
      <c r="AO33" s="3"/>
      <c r="AP33" s="5"/>
      <c r="AQ33" s="68"/>
      <c r="AR33" s="6"/>
      <c r="AS33" s="6"/>
      <c r="AU33" s="116">
        <f t="shared" si="40"/>
        <v>0</v>
      </c>
      <c r="AV33" s="78">
        <v>42826</v>
      </c>
      <c r="AW33" s="3"/>
      <c r="AX33" s="5"/>
      <c r="AY33" s="68"/>
      <c r="AZ33" s="6"/>
      <c r="BA33" s="6"/>
      <c r="BC33" s="116">
        <f t="shared" si="41"/>
        <v>0</v>
      </c>
      <c r="BD33" s="78">
        <v>42826</v>
      </c>
      <c r="BE33" s="3"/>
      <c r="BF33" s="5"/>
      <c r="BG33" s="68"/>
      <c r="BH33" s="6"/>
      <c r="BI33" s="6"/>
      <c r="BK33" s="116">
        <f t="shared" si="42"/>
        <v>0</v>
      </c>
      <c r="BL33" s="78">
        <v>42826</v>
      </c>
      <c r="BM33" s="3"/>
      <c r="BN33" s="5"/>
      <c r="BO33" s="68"/>
      <c r="BP33" s="6"/>
      <c r="BQ33" s="6"/>
      <c r="BS33" s="116">
        <f t="shared" si="43"/>
        <v>0</v>
      </c>
      <c r="BT33" s="78">
        <v>42826</v>
      </c>
      <c r="BU33" s="3"/>
      <c r="BV33" s="5"/>
      <c r="BW33" s="68"/>
      <c r="BX33" s="6"/>
      <c r="BY33" s="6"/>
      <c r="CA33" s="116">
        <f t="shared" si="44"/>
        <v>0</v>
      </c>
      <c r="CB33" s="78">
        <v>42826</v>
      </c>
      <c r="CC33" s="3"/>
      <c r="CD33" s="5"/>
      <c r="CE33" s="68"/>
      <c r="CF33" s="6"/>
      <c r="CG33" s="6"/>
      <c r="CI33" s="116">
        <f t="shared" si="45"/>
        <v>0</v>
      </c>
      <c r="CJ33" s="78">
        <v>42826</v>
      </c>
      <c r="CK33" s="3"/>
      <c r="CL33" s="5"/>
      <c r="CM33" s="68"/>
      <c r="CN33" s="6"/>
      <c r="CO33" s="6"/>
      <c r="CQ33" s="116">
        <f t="shared" si="46"/>
        <v>2</v>
      </c>
      <c r="CR33" s="78">
        <v>42826</v>
      </c>
      <c r="CS33" s="3">
        <f>[6]IRR!AL27</f>
        <v>7119.7567446554722</v>
      </c>
      <c r="CT33" s="5">
        <f>CS33/(1+'[6]Assets to be Leased'!$B$9)</f>
        <v>6137.721331599545</v>
      </c>
      <c r="CU33" s="68"/>
      <c r="CV33" s="6">
        <f>[6]IRR!AO27</f>
        <v>1866.6638548791207</v>
      </c>
      <c r="CW33" s="6">
        <f>[6]IRR!AP27/(1+'[6]Assets to be Leased'!$B$9)</f>
        <v>173480.51609155681</v>
      </c>
      <c r="CZ33" s="78">
        <v>42795</v>
      </c>
      <c r="DA33" s="142">
        <f>IF(DO32&gt;=DA32,0,U32*(1+'[6]Assets to be Leased'!$B$9))</f>
        <v>0</v>
      </c>
      <c r="DB33" s="143">
        <f>IF(DO32&gt;=DB32,0,AC32*(1+'[6]Assets to be Leased'!$B$9))</f>
        <v>0</v>
      </c>
      <c r="DC33" s="143">
        <f>IF(DO32&gt;=DC32,0,AK32*(1+'[6]Assets to be Leased'!$B$9))</f>
        <v>0</v>
      </c>
      <c r="DD33" s="144" t="str">
        <f>IF(AS32="","",AS32*(1+'[6]Assets to be Leased'!$B$9))</f>
        <v/>
      </c>
      <c r="DE33" s="144">
        <f>BA32*(1+'[6]Assets to be Leased'!$B$9)</f>
        <v>0</v>
      </c>
      <c r="DF33" s="144">
        <f>BI32*(1+'[6]Assets to be Leased'!$B$9)</f>
        <v>0</v>
      </c>
      <c r="DG33" s="144">
        <f>BQ32*(1+'[6]Assets to be Leased'!$B$9)</f>
        <v>0</v>
      </c>
      <c r="DH33" s="144">
        <f>BY32*(1+'[6]Assets to be Leased'!$B$9)</f>
        <v>0</v>
      </c>
      <c r="DI33" s="144">
        <f>CG32*(1+'[6]Assets to be Leased'!$B$9)</f>
        <v>0</v>
      </c>
      <c r="DJ33" s="144">
        <f>CO32*(1+'[6]Assets to be Leased'!$B$9)</f>
        <v>0</v>
      </c>
      <c r="DK33" s="176">
        <f>CW32*(1+'[6]Assets to be Leased'!$B$9)</f>
        <v>206490.49155598224</v>
      </c>
      <c r="DL33" s="205">
        <f t="shared" si="27"/>
        <v>206490.49155598224</v>
      </c>
      <c r="DM33" s="161">
        <f t="array" ref="DM33">IFERROR(SMALL(IF(DA33:DC33&gt;0,DA33:DC33),1),0)</f>
        <v>0</v>
      </c>
      <c r="DN33" s="78">
        <v>42795</v>
      </c>
      <c r="DO33" s="169">
        <f>IF(DS32+DR33&gt;DM33,HLOOKUP(DM33,DA33:$DL$82,1,FALSE),0)</f>
        <v>0</v>
      </c>
      <c r="DP33" s="68">
        <f>DP28</f>
        <v>0</v>
      </c>
      <c r="DQ33" s="68">
        <v>10000</v>
      </c>
      <c r="DR33" s="68">
        <f t="shared" si="47"/>
        <v>10000</v>
      </c>
      <c r="DS33" s="170">
        <f t="shared" si="48"/>
        <v>70000</v>
      </c>
      <c r="DU33" s="1758"/>
      <c r="DV33" s="1759"/>
      <c r="DW33" s="1759"/>
      <c r="DX33" s="1759"/>
      <c r="DY33" s="1759"/>
      <c r="DZ33" s="1760"/>
      <c r="EA33" s="203"/>
      <c r="EB33" s="203"/>
      <c r="EC33" s="203"/>
    </row>
    <row r="34" spans="1:133">
      <c r="A34" s="1783">
        <f>B5</f>
        <v>0</v>
      </c>
      <c r="B34" s="122" t="s">
        <v>67</v>
      </c>
      <c r="C34" s="11">
        <f>Y29</f>
        <v>0</v>
      </c>
      <c r="D34" s="11">
        <f>Y42</f>
        <v>0</v>
      </c>
      <c r="E34" s="11">
        <f>Y55</f>
        <v>0</v>
      </c>
      <c r="F34" s="11">
        <f>Y68</f>
        <v>0</v>
      </c>
      <c r="G34" s="11">
        <f>Y81</f>
        <v>0</v>
      </c>
      <c r="H34" s="11">
        <f>Y94</f>
        <v>0</v>
      </c>
      <c r="I34" s="11">
        <f>Y107</f>
        <v>0</v>
      </c>
      <c r="J34" s="11">
        <f>Y120</f>
        <v>0</v>
      </c>
      <c r="K34" s="11">
        <f>Y133</f>
        <v>0</v>
      </c>
      <c r="L34" s="74">
        <f>Y146</f>
        <v>0</v>
      </c>
      <c r="M34" s="12"/>
      <c r="O34" s="116">
        <f t="shared" si="36"/>
        <v>0</v>
      </c>
      <c r="P34" s="78">
        <v>42856</v>
      </c>
      <c r="Q34" s="95"/>
      <c r="R34" s="80"/>
      <c r="S34" s="95"/>
      <c r="T34" s="80"/>
      <c r="U34" s="80"/>
      <c r="V34" s="86"/>
      <c r="W34" s="116">
        <f t="shared" si="37"/>
        <v>0</v>
      </c>
      <c r="X34" s="78">
        <v>42856</v>
      </c>
      <c r="Y34" s="104"/>
      <c r="Z34" s="105"/>
      <c r="AA34" s="104"/>
      <c r="AB34" s="105"/>
      <c r="AC34" s="105"/>
      <c r="AE34" s="116">
        <f t="shared" si="38"/>
        <v>0</v>
      </c>
      <c r="AF34" s="78">
        <v>42856</v>
      </c>
      <c r="AG34" s="3"/>
      <c r="AH34" s="5"/>
      <c r="AI34" s="68"/>
      <c r="AJ34" s="6"/>
      <c r="AK34" s="6"/>
      <c r="AM34" s="116">
        <f t="shared" si="39"/>
        <v>0</v>
      </c>
      <c r="AN34" s="78">
        <v>42856</v>
      </c>
      <c r="AO34" s="3"/>
      <c r="AP34" s="5"/>
      <c r="AQ34" s="68"/>
      <c r="AR34" s="6"/>
      <c r="AS34" s="6"/>
      <c r="AU34" s="116">
        <f t="shared" si="40"/>
        <v>0</v>
      </c>
      <c r="AV34" s="78">
        <v>42856</v>
      </c>
      <c r="AW34" s="3"/>
      <c r="AX34" s="5"/>
      <c r="AY34" s="68"/>
      <c r="AZ34" s="6"/>
      <c r="BA34" s="6"/>
      <c r="BC34" s="116">
        <f t="shared" si="41"/>
        <v>0</v>
      </c>
      <c r="BD34" s="78">
        <v>42856</v>
      </c>
      <c r="BE34" s="3"/>
      <c r="BF34" s="5"/>
      <c r="BG34" s="68"/>
      <c r="BH34" s="6"/>
      <c r="BI34" s="6"/>
      <c r="BK34" s="116">
        <f t="shared" si="42"/>
        <v>0</v>
      </c>
      <c r="BL34" s="78">
        <v>42856</v>
      </c>
      <c r="BM34" s="3"/>
      <c r="BN34" s="5"/>
      <c r="BO34" s="68"/>
      <c r="BP34" s="6"/>
      <c r="BQ34" s="6"/>
      <c r="BS34" s="116">
        <f t="shared" si="43"/>
        <v>0</v>
      </c>
      <c r="BT34" s="78">
        <v>42856</v>
      </c>
      <c r="BU34" s="3"/>
      <c r="BV34" s="5"/>
      <c r="BW34" s="68"/>
      <c r="BX34" s="6"/>
      <c r="BY34" s="6"/>
      <c r="CA34" s="116">
        <f t="shared" si="44"/>
        <v>0</v>
      </c>
      <c r="CB34" s="78">
        <v>42856</v>
      </c>
      <c r="CC34" s="3"/>
      <c r="CD34" s="5"/>
      <c r="CE34" s="68"/>
      <c r="CF34" s="6"/>
      <c r="CG34" s="6"/>
      <c r="CI34" s="116">
        <f t="shared" si="45"/>
        <v>0</v>
      </c>
      <c r="CJ34" s="78">
        <v>42856</v>
      </c>
      <c r="CK34" s="3"/>
      <c r="CL34" s="5"/>
      <c r="CM34" s="68"/>
      <c r="CN34" s="6"/>
      <c r="CO34" s="6"/>
      <c r="CQ34" s="116">
        <f t="shared" si="46"/>
        <v>3</v>
      </c>
      <c r="CR34" s="78">
        <v>42856</v>
      </c>
      <c r="CS34" s="3">
        <f>[6]IRR!AL28</f>
        <v>7119.7567446554722</v>
      </c>
      <c r="CT34" s="5">
        <f>CS34/(1+'[6]Assets to be Leased'!$B$9)</f>
        <v>6137.721331599545</v>
      </c>
      <c r="CU34" s="68"/>
      <c r="CV34" s="6">
        <f>[6]IRR!AO28</f>
        <v>1819.1761543570383</v>
      </c>
      <c r="CW34" s="6">
        <f>[6]IRR!AP28/(1+'[6]Assets to be Leased'!$B$9)</f>
        <v>168911.05006543748</v>
      </c>
      <c r="CZ34" s="78">
        <v>42826</v>
      </c>
      <c r="DA34" s="142">
        <f>IF(DO33&gt;=DA33,0,U33*(1+'[6]Assets to be Leased'!$B$9))</f>
        <v>0</v>
      </c>
      <c r="DB34" s="143">
        <f>IF(DO33&gt;=DB33,0,AC33*(1+'[6]Assets to be Leased'!$B$9))</f>
        <v>0</v>
      </c>
      <c r="DC34" s="143">
        <f>IF(DO33&gt;=DC33,0,AK33*(1+'[6]Assets to be Leased'!$B$9))</f>
        <v>0</v>
      </c>
      <c r="DD34" s="144" t="str">
        <f>IF(AS33="","",AS33*(1+'[6]Assets to be Leased'!$B$9))</f>
        <v/>
      </c>
      <c r="DE34" s="144">
        <f>BA33*(1+'[6]Assets to be Leased'!$B$9)</f>
        <v>0</v>
      </c>
      <c r="DF34" s="144">
        <f>BI33*(1+'[6]Assets to be Leased'!$B$9)</f>
        <v>0</v>
      </c>
      <c r="DG34" s="144">
        <f>BQ33*(1+'[6]Assets to be Leased'!$B$9)</f>
        <v>0</v>
      </c>
      <c r="DH34" s="144">
        <f>BY33*(1+'[6]Assets to be Leased'!$B$9)</f>
        <v>0</v>
      </c>
      <c r="DI34" s="144">
        <f>CG33*(1+'[6]Assets to be Leased'!$B$9)</f>
        <v>0</v>
      </c>
      <c r="DJ34" s="144">
        <f>CO33*(1+'[6]Assets to be Leased'!$B$9)</f>
        <v>0</v>
      </c>
      <c r="DK34" s="176">
        <f>CW33*(1+'[6]Assets to be Leased'!$B$9)</f>
        <v>201237.39866620587</v>
      </c>
      <c r="DL34" s="176">
        <f t="shared" si="27"/>
        <v>201237.39866620587</v>
      </c>
      <c r="DM34" s="161">
        <f t="array" ref="DM34">IFERROR(SMALL(IF(DA34:DC34&gt;0,DA34:DC34),1),0)</f>
        <v>0</v>
      </c>
      <c r="DN34" s="78">
        <v>42826</v>
      </c>
      <c r="DO34" s="169">
        <f>IF(DS33+DR34&gt;DM34,HLOOKUP(DM34,DA34:$DL$82,1,FALSE),0)</f>
        <v>0</v>
      </c>
      <c r="DP34" s="68">
        <f t="shared" ref="DP34:DP40" si="49">DP33</f>
        <v>0</v>
      </c>
      <c r="DQ34" s="68">
        <v>10000</v>
      </c>
      <c r="DR34" s="68">
        <f t="shared" si="47"/>
        <v>10000</v>
      </c>
      <c r="DS34" s="170">
        <f t="shared" si="48"/>
        <v>80000</v>
      </c>
      <c r="DU34" s="1758"/>
      <c r="DV34" s="1759"/>
      <c r="DW34" s="1759"/>
      <c r="DX34" s="1759"/>
      <c r="DY34" s="1759"/>
      <c r="DZ34" s="1760"/>
      <c r="EA34" s="203"/>
      <c r="EB34" s="203"/>
      <c r="EC34" s="203"/>
    </row>
    <row r="35" spans="1:133">
      <c r="A35" s="1784"/>
      <c r="B35" s="23" t="s">
        <v>69</v>
      </c>
      <c r="C35" s="9">
        <f>Z29</f>
        <v>0</v>
      </c>
      <c r="D35" s="9">
        <f>Z42</f>
        <v>0</v>
      </c>
      <c r="E35" s="9">
        <f>Z55</f>
        <v>0</v>
      </c>
      <c r="F35" s="9">
        <f>Z68</f>
        <v>0</v>
      </c>
      <c r="G35" s="9">
        <f>Z81</f>
        <v>0</v>
      </c>
      <c r="H35" s="9">
        <f>Z94</f>
        <v>0</v>
      </c>
      <c r="I35" s="9">
        <f>Z107</f>
        <v>0</v>
      </c>
      <c r="J35" s="9">
        <f>Z120</f>
        <v>0</v>
      </c>
      <c r="K35" s="9">
        <f>Z133</f>
        <v>0</v>
      </c>
      <c r="L35" s="22">
        <f>Z146</f>
        <v>0</v>
      </c>
      <c r="M35" s="12"/>
      <c r="O35" s="116">
        <f t="shared" si="36"/>
        <v>0</v>
      </c>
      <c r="P35" s="78">
        <v>42887</v>
      </c>
      <c r="Q35" s="95"/>
      <c r="R35" s="80"/>
      <c r="S35" s="95"/>
      <c r="T35" s="80"/>
      <c r="U35" s="80"/>
      <c r="V35" s="86"/>
      <c r="W35" s="116">
        <f t="shared" si="37"/>
        <v>0</v>
      </c>
      <c r="X35" s="78">
        <v>42887</v>
      </c>
      <c r="Y35" s="104"/>
      <c r="Z35" s="105"/>
      <c r="AA35" s="104"/>
      <c r="AB35" s="105"/>
      <c r="AC35" s="105"/>
      <c r="AE35" s="116">
        <f t="shared" si="38"/>
        <v>0</v>
      </c>
      <c r="AF35" s="78">
        <v>42887</v>
      </c>
      <c r="AG35" s="3"/>
      <c r="AH35" s="5"/>
      <c r="AI35" s="68"/>
      <c r="AJ35" s="6"/>
      <c r="AK35" s="6"/>
      <c r="AM35" s="116">
        <f t="shared" si="39"/>
        <v>0</v>
      </c>
      <c r="AN35" s="78">
        <v>42887</v>
      </c>
      <c r="AO35" s="3"/>
      <c r="AP35" s="5"/>
      <c r="AQ35" s="68"/>
      <c r="AR35" s="6"/>
      <c r="AS35" s="6"/>
      <c r="AU35" s="116">
        <f t="shared" si="40"/>
        <v>0</v>
      </c>
      <c r="AV35" s="78">
        <v>42887</v>
      </c>
      <c r="AW35" s="3"/>
      <c r="AX35" s="5"/>
      <c r="AY35" s="68"/>
      <c r="AZ35" s="6"/>
      <c r="BA35" s="6"/>
      <c r="BC35" s="116">
        <f t="shared" si="41"/>
        <v>0</v>
      </c>
      <c r="BD35" s="78">
        <v>42887</v>
      </c>
      <c r="BE35" s="3"/>
      <c r="BF35" s="5"/>
      <c r="BG35" s="68"/>
      <c r="BH35" s="6"/>
      <c r="BI35" s="6"/>
      <c r="BK35" s="116">
        <f t="shared" si="42"/>
        <v>0</v>
      </c>
      <c r="BL35" s="78">
        <v>42887</v>
      </c>
      <c r="BM35" s="3"/>
      <c r="BN35" s="5"/>
      <c r="BO35" s="68"/>
      <c r="BP35" s="6"/>
      <c r="BQ35" s="6"/>
      <c r="BS35" s="116">
        <f t="shared" si="43"/>
        <v>0</v>
      </c>
      <c r="BT35" s="78">
        <v>42887</v>
      </c>
      <c r="BU35" s="3"/>
      <c r="BV35" s="5"/>
      <c r="BW35" s="68"/>
      <c r="BX35" s="6"/>
      <c r="BY35" s="6"/>
      <c r="CA35" s="116">
        <f t="shared" si="44"/>
        <v>0</v>
      </c>
      <c r="CB35" s="78">
        <v>42887</v>
      </c>
      <c r="CC35" s="3"/>
      <c r="CD35" s="5"/>
      <c r="CE35" s="68"/>
      <c r="CF35" s="6"/>
      <c r="CG35" s="6"/>
      <c r="CI35" s="116">
        <f t="shared" si="45"/>
        <v>0</v>
      </c>
      <c r="CJ35" s="78">
        <v>42887</v>
      </c>
      <c r="CK35" s="3"/>
      <c r="CL35" s="5"/>
      <c r="CM35" s="68"/>
      <c r="CN35" s="6"/>
      <c r="CO35" s="6"/>
      <c r="CQ35" s="116">
        <f t="shared" si="46"/>
        <v>4</v>
      </c>
      <c r="CR35" s="78">
        <v>42887</v>
      </c>
      <c r="CS35" s="3">
        <f>[6]IRR!AL29</f>
        <v>7119.7567446554722</v>
      </c>
      <c r="CT35" s="5">
        <f>CS35/(1+'[6]Assets to be Leased'!$B$9)</f>
        <v>6137.721331599545</v>
      </c>
      <c r="CU35" s="68"/>
      <c r="CV35" s="6">
        <f>[6]IRR!AO29</f>
        <v>1771.2591673654053</v>
      </c>
      <c r="CW35" s="6">
        <f>[6]IRR!AP29/(1+'[6]Assets to be Leased'!$B$9)</f>
        <v>164300.27629191152</v>
      </c>
      <c r="CZ35" s="78">
        <v>42856</v>
      </c>
      <c r="DA35" s="142">
        <f>IF(DO34&gt;=DA34,0,U34*(1+'[6]Assets to be Leased'!$B$9))</f>
        <v>0</v>
      </c>
      <c r="DB35" s="143">
        <f>IF(DO34&gt;=DB34,0,AC34*(1+'[6]Assets to be Leased'!$B$9))</f>
        <v>0</v>
      </c>
      <c r="DC35" s="143">
        <f>IF(DO34&gt;=DC34,0,AK34*(1+'[6]Assets to be Leased'!$B$9))</f>
        <v>0</v>
      </c>
      <c r="DD35" s="144" t="str">
        <f>IF(AS34="","",AS34*(1+'[6]Assets to be Leased'!$B$9))</f>
        <v/>
      </c>
      <c r="DE35" s="144">
        <f>BA34*(1+'[6]Assets to be Leased'!$B$9)</f>
        <v>0</v>
      </c>
      <c r="DF35" s="144">
        <f>BI34*(1+'[6]Assets to be Leased'!$B$9)</f>
        <v>0</v>
      </c>
      <c r="DG35" s="144">
        <f>BQ34*(1+'[6]Assets to be Leased'!$B$9)</f>
        <v>0</v>
      </c>
      <c r="DH35" s="144">
        <f>BY34*(1+'[6]Assets to be Leased'!$B$9)</f>
        <v>0</v>
      </c>
      <c r="DI35" s="144">
        <f>CG34*(1+'[6]Assets to be Leased'!$B$9)</f>
        <v>0</v>
      </c>
      <c r="DJ35" s="144">
        <f>CO34*(1+'[6]Assets to be Leased'!$B$9)</f>
        <v>0</v>
      </c>
      <c r="DK35" s="176">
        <f>CW34*(1+'[6]Assets to be Leased'!$B$9)</f>
        <v>195936.81807590745</v>
      </c>
      <c r="DL35" s="176">
        <f t="shared" si="27"/>
        <v>195936.81807590745</v>
      </c>
      <c r="DM35" s="161">
        <f t="array" ref="DM35">IFERROR(SMALL(IF(DA35:DC35&gt;0,DA35:DC35),1),0)</f>
        <v>0</v>
      </c>
      <c r="DN35" s="78">
        <v>42856</v>
      </c>
      <c r="DO35" s="169">
        <f>IF(DS34+DR35&gt;DM35,HLOOKUP(DM35,DA35:$DL$82,1,FALSE),0)</f>
        <v>0</v>
      </c>
      <c r="DP35" s="68">
        <f t="shared" si="49"/>
        <v>0</v>
      </c>
      <c r="DQ35" s="68">
        <v>10000</v>
      </c>
      <c r="DR35" s="68">
        <f t="shared" si="47"/>
        <v>10000</v>
      </c>
      <c r="DS35" s="170">
        <f t="shared" si="48"/>
        <v>90000</v>
      </c>
      <c r="DU35" s="1758"/>
      <c r="DV35" s="1759"/>
      <c r="DW35" s="1759"/>
      <c r="DX35" s="1759"/>
      <c r="DY35" s="1759"/>
      <c r="DZ35" s="1760"/>
      <c r="EA35" s="203"/>
      <c r="EB35" s="203"/>
      <c r="EC35" s="203"/>
    </row>
    <row r="36" spans="1:133">
      <c r="A36" s="1784"/>
      <c r="B36" s="23" t="s">
        <v>68</v>
      </c>
      <c r="C36" s="9">
        <f>C34-C35</f>
        <v>0</v>
      </c>
      <c r="D36" s="9">
        <f>D34-D35</f>
        <v>0</v>
      </c>
      <c r="E36" s="9">
        <f>E34-E35</f>
        <v>0</v>
      </c>
      <c r="F36" s="9">
        <f t="shared" ref="F36:L36" si="50">F34-F35</f>
        <v>0</v>
      </c>
      <c r="G36" s="9">
        <f t="shared" si="50"/>
        <v>0</v>
      </c>
      <c r="H36" s="9">
        <f t="shared" si="50"/>
        <v>0</v>
      </c>
      <c r="I36" s="9">
        <f t="shared" si="50"/>
        <v>0</v>
      </c>
      <c r="J36" s="9">
        <f t="shared" si="50"/>
        <v>0</v>
      </c>
      <c r="K36" s="9">
        <f t="shared" si="50"/>
        <v>0</v>
      </c>
      <c r="L36" s="22">
        <f t="shared" si="50"/>
        <v>0</v>
      </c>
      <c r="M36" s="12"/>
      <c r="O36" s="116">
        <f t="shared" si="36"/>
        <v>0</v>
      </c>
      <c r="P36" s="78">
        <v>42917</v>
      </c>
      <c r="Q36" s="95"/>
      <c r="R36" s="80"/>
      <c r="S36" s="95"/>
      <c r="T36" s="80"/>
      <c r="U36" s="80"/>
      <c r="V36" s="86"/>
      <c r="W36" s="116">
        <f t="shared" si="37"/>
        <v>0</v>
      </c>
      <c r="X36" s="78">
        <v>42917</v>
      </c>
      <c r="Y36" s="104"/>
      <c r="Z36" s="105"/>
      <c r="AA36" s="104"/>
      <c r="AB36" s="105"/>
      <c r="AC36" s="105"/>
      <c r="AE36" s="116">
        <f t="shared" si="38"/>
        <v>0</v>
      </c>
      <c r="AF36" s="78">
        <v>42917</v>
      </c>
      <c r="AG36" s="3"/>
      <c r="AH36" s="5"/>
      <c r="AI36" s="68"/>
      <c r="AJ36" s="6"/>
      <c r="AK36" s="6"/>
      <c r="AM36" s="116">
        <f t="shared" si="39"/>
        <v>0</v>
      </c>
      <c r="AN36" s="78">
        <v>42917</v>
      </c>
      <c r="AO36" s="3"/>
      <c r="AP36" s="5"/>
      <c r="AQ36" s="68"/>
      <c r="AR36" s="6"/>
      <c r="AS36" s="6"/>
      <c r="AU36" s="116">
        <f t="shared" si="40"/>
        <v>0</v>
      </c>
      <c r="AV36" s="78">
        <v>42917</v>
      </c>
      <c r="AW36" s="3"/>
      <c r="AX36" s="5"/>
      <c r="AY36" s="68"/>
      <c r="AZ36" s="6"/>
      <c r="BA36" s="6"/>
      <c r="BC36" s="116">
        <f t="shared" si="41"/>
        <v>0</v>
      </c>
      <c r="BD36" s="78">
        <v>42917</v>
      </c>
      <c r="BE36" s="3"/>
      <c r="BF36" s="5"/>
      <c r="BG36" s="68"/>
      <c r="BH36" s="6"/>
      <c r="BI36" s="6"/>
      <c r="BK36" s="116">
        <f t="shared" si="42"/>
        <v>0</v>
      </c>
      <c r="BL36" s="78">
        <v>42917</v>
      </c>
      <c r="BM36" s="3"/>
      <c r="BN36" s="5"/>
      <c r="BO36" s="68"/>
      <c r="BP36" s="6"/>
      <c r="BQ36" s="6"/>
      <c r="BS36" s="116">
        <f t="shared" si="43"/>
        <v>0</v>
      </c>
      <c r="BT36" s="78">
        <v>42917</v>
      </c>
      <c r="BU36" s="3"/>
      <c r="BV36" s="5"/>
      <c r="BW36" s="68"/>
      <c r="BX36" s="6"/>
      <c r="BY36" s="6"/>
      <c r="CA36" s="116">
        <f t="shared" si="44"/>
        <v>0</v>
      </c>
      <c r="CB36" s="78">
        <v>42917</v>
      </c>
      <c r="CC36" s="3"/>
      <c r="CD36" s="5"/>
      <c r="CE36" s="68"/>
      <c r="CF36" s="6"/>
      <c r="CG36" s="6"/>
      <c r="CI36" s="116">
        <f t="shared" si="45"/>
        <v>0</v>
      </c>
      <c r="CJ36" s="78">
        <v>42917</v>
      </c>
      <c r="CK36" s="3"/>
      <c r="CL36" s="5"/>
      <c r="CM36" s="68"/>
      <c r="CN36" s="6"/>
      <c r="CO36" s="6"/>
      <c r="CQ36" s="116">
        <f t="shared" si="46"/>
        <v>5</v>
      </c>
      <c r="CR36" s="78">
        <v>42917</v>
      </c>
      <c r="CS36" s="3">
        <f>[6]IRR!AL30</f>
        <v>7119.7567446554722</v>
      </c>
      <c r="CT36" s="5">
        <f>CS36/(1+'[6]Assets to be Leased'!$B$9)</f>
        <v>6137.721331599545</v>
      </c>
      <c r="CU36" s="68"/>
      <c r="CV36" s="6">
        <f>[6]IRR!AO30</f>
        <v>1722.9090131757187</v>
      </c>
      <c r="CW36" s="6">
        <f>[6]IRR!AP30/(1+'[6]Assets to be Leased'!$B$9)</f>
        <v>159647.8213509807</v>
      </c>
      <c r="CZ36" s="78">
        <v>42887</v>
      </c>
      <c r="DA36" s="142">
        <f>IF(DO35&gt;=DA35,0,U35*(1+'[6]Assets to be Leased'!$B$9))</f>
        <v>0</v>
      </c>
      <c r="DB36" s="143">
        <f>IF(DO35&gt;=DB35,0,AC35*(1+'[6]Assets to be Leased'!$B$9))</f>
        <v>0</v>
      </c>
      <c r="DC36" s="143">
        <f>IF(DO35&gt;=DC35,0,AK35*(1+'[6]Assets to be Leased'!$B$9))</f>
        <v>0</v>
      </c>
      <c r="DD36" s="144" t="str">
        <f>IF(AS35="","",AS35*(1+'[6]Assets to be Leased'!$B$9))</f>
        <v/>
      </c>
      <c r="DE36" s="144">
        <f>BA35*(1+'[6]Assets to be Leased'!$B$9)</f>
        <v>0</v>
      </c>
      <c r="DF36" s="144">
        <f>BI35*(1+'[6]Assets to be Leased'!$B$9)</f>
        <v>0</v>
      </c>
      <c r="DG36" s="144">
        <f>BQ35*(1+'[6]Assets to be Leased'!$B$9)</f>
        <v>0</v>
      </c>
      <c r="DH36" s="144">
        <f>BY35*(1+'[6]Assets to be Leased'!$B$9)</f>
        <v>0</v>
      </c>
      <c r="DI36" s="144">
        <f>CG35*(1+'[6]Assets to be Leased'!$B$9)</f>
        <v>0</v>
      </c>
      <c r="DJ36" s="144">
        <f>CO35*(1+'[6]Assets to be Leased'!$B$9)</f>
        <v>0</v>
      </c>
      <c r="DK36" s="176">
        <f>CW35*(1+'[6]Assets to be Leased'!$B$9)</f>
        <v>190588.32049861734</v>
      </c>
      <c r="DL36" s="205">
        <f t="shared" si="27"/>
        <v>190588.32049861734</v>
      </c>
      <c r="DM36" s="161">
        <f t="array" ref="DM36">IFERROR(SMALL(IF(DA36:DC36&gt;0,DA36:DC36),1),0)</f>
        <v>0</v>
      </c>
      <c r="DN36" s="78">
        <v>42887</v>
      </c>
      <c r="DO36" s="169">
        <f>IF(DS35+DR36&gt;DM36,HLOOKUP(DM36,DA36:$DL$82,1,FALSE),0)</f>
        <v>0</v>
      </c>
      <c r="DP36" s="68">
        <f t="shared" si="49"/>
        <v>0</v>
      </c>
      <c r="DQ36" s="68"/>
      <c r="DR36" s="68">
        <f t="shared" si="47"/>
        <v>0</v>
      </c>
      <c r="DS36" s="170">
        <f t="shared" si="48"/>
        <v>90000</v>
      </c>
      <c r="DU36" s="1761"/>
      <c r="DV36" s="1762"/>
      <c r="DW36" s="1762"/>
      <c r="DX36" s="1762"/>
      <c r="DY36" s="1762"/>
      <c r="DZ36" s="1763"/>
      <c r="EA36" s="206"/>
      <c r="EB36" s="206"/>
      <c r="EC36" s="203"/>
    </row>
    <row r="37" spans="1:133">
      <c r="A37" s="1784"/>
      <c r="B37" s="23" t="s">
        <v>54</v>
      </c>
      <c r="C37" s="63">
        <f>AB29</f>
        <v>0</v>
      </c>
      <c r="D37" s="8">
        <f>AB42</f>
        <v>0</v>
      </c>
      <c r="E37" s="8">
        <f>AB55</f>
        <v>0</v>
      </c>
      <c r="F37" s="9">
        <f>AB68</f>
        <v>0</v>
      </c>
      <c r="G37" s="9">
        <f>AB81</f>
        <v>0</v>
      </c>
      <c r="H37" s="9">
        <f>AB94</f>
        <v>0</v>
      </c>
      <c r="I37" s="9">
        <f>AB107</f>
        <v>0</v>
      </c>
      <c r="J37" s="9">
        <f>AB120</f>
        <v>0</v>
      </c>
      <c r="K37" s="9">
        <f>AB133</f>
        <v>0</v>
      </c>
      <c r="L37" s="22">
        <f>AB146</f>
        <v>0</v>
      </c>
      <c r="M37" s="12"/>
      <c r="O37" s="116">
        <f t="shared" si="36"/>
        <v>0</v>
      </c>
      <c r="P37" s="78">
        <v>42948</v>
      </c>
      <c r="Q37" s="95"/>
      <c r="R37" s="80"/>
      <c r="S37" s="95"/>
      <c r="T37" s="80"/>
      <c r="U37" s="80"/>
      <c r="V37" s="86"/>
      <c r="W37" s="116">
        <f t="shared" si="37"/>
        <v>0</v>
      </c>
      <c r="X37" s="78">
        <v>42948</v>
      </c>
      <c r="Y37" s="104"/>
      <c r="Z37" s="105"/>
      <c r="AA37" s="104"/>
      <c r="AB37" s="105"/>
      <c r="AC37" s="105"/>
      <c r="AE37" s="116">
        <f t="shared" si="38"/>
        <v>0</v>
      </c>
      <c r="AF37" s="78">
        <v>42948</v>
      </c>
      <c r="AG37" s="3"/>
      <c r="AH37" s="5"/>
      <c r="AI37" s="68"/>
      <c r="AJ37" s="6"/>
      <c r="AK37" s="6"/>
      <c r="AM37" s="116">
        <f t="shared" si="39"/>
        <v>0</v>
      </c>
      <c r="AN37" s="78">
        <v>42948</v>
      </c>
      <c r="AO37" s="3"/>
      <c r="AP37" s="5"/>
      <c r="AQ37" s="68"/>
      <c r="AR37" s="6"/>
      <c r="AS37" s="6"/>
      <c r="AU37" s="116">
        <f t="shared" si="40"/>
        <v>0</v>
      </c>
      <c r="AV37" s="78">
        <v>42948</v>
      </c>
      <c r="AW37" s="3"/>
      <c r="AX37" s="5"/>
      <c r="AY37" s="68"/>
      <c r="AZ37" s="6"/>
      <c r="BA37" s="6"/>
      <c r="BC37" s="116">
        <f t="shared" si="41"/>
        <v>0</v>
      </c>
      <c r="BD37" s="78">
        <v>42948</v>
      </c>
      <c r="BE37" s="3"/>
      <c r="BF37" s="5"/>
      <c r="BG37" s="68"/>
      <c r="BH37" s="6"/>
      <c r="BI37" s="6"/>
      <c r="BK37" s="116">
        <f t="shared" si="42"/>
        <v>0</v>
      </c>
      <c r="BL37" s="78">
        <v>42948</v>
      </c>
      <c r="BM37" s="3"/>
      <c r="BN37" s="5"/>
      <c r="BO37" s="68"/>
      <c r="BP37" s="6"/>
      <c r="BQ37" s="6"/>
      <c r="BS37" s="116">
        <f t="shared" si="43"/>
        <v>0</v>
      </c>
      <c r="BT37" s="78">
        <v>42948</v>
      </c>
      <c r="BU37" s="3"/>
      <c r="BV37" s="5"/>
      <c r="BW37" s="68"/>
      <c r="BX37" s="6"/>
      <c r="BY37" s="6"/>
      <c r="CA37" s="116">
        <f t="shared" si="44"/>
        <v>0</v>
      </c>
      <c r="CB37" s="78">
        <v>42948</v>
      </c>
      <c r="CC37" s="3"/>
      <c r="CD37" s="5"/>
      <c r="CE37" s="68"/>
      <c r="CF37" s="6"/>
      <c r="CG37" s="6"/>
      <c r="CI37" s="116">
        <f t="shared" si="45"/>
        <v>0</v>
      </c>
      <c r="CJ37" s="78">
        <v>42948</v>
      </c>
      <c r="CK37" s="3"/>
      <c r="CL37" s="5"/>
      <c r="CM37" s="68"/>
      <c r="CN37" s="6"/>
      <c r="CO37" s="6"/>
      <c r="CQ37" s="116">
        <f t="shared" si="46"/>
        <v>6</v>
      </c>
      <c r="CR37" s="78">
        <v>42948</v>
      </c>
      <c r="CS37" s="3">
        <f>[6]IRR!AL31</f>
        <v>7119.7567446554722</v>
      </c>
      <c r="CT37" s="5">
        <f>CS37/(1+'[6]Assets to be Leased'!$B$9)</f>
        <v>6137.721331599545</v>
      </c>
      <c r="CU37" s="68"/>
      <c r="CV37" s="6">
        <f>[6]IRR!AO31</f>
        <v>1674.1217759778817</v>
      </c>
      <c r="CW37" s="6">
        <f>[6]IRR!AP31/(1+'[6]Assets to be Leased'!$B$9)</f>
        <v>154953.3084469483</v>
      </c>
      <c r="CZ37" s="78">
        <v>42917</v>
      </c>
      <c r="DA37" s="142">
        <f>IF(DO36&gt;=DA36,0,U36*(1+'[6]Assets to be Leased'!$B$9))</f>
        <v>0</v>
      </c>
      <c r="DB37" s="143">
        <f>IF(DO36&gt;=DB36,0,AC36*(1+'[6]Assets to be Leased'!$B$9))</f>
        <v>0</v>
      </c>
      <c r="DC37" s="143">
        <f>IF(DO36&gt;=DC36,0,AK36*(1+'[6]Assets to be Leased'!$B$9))</f>
        <v>0</v>
      </c>
      <c r="DD37" s="144" t="str">
        <f>IF(AS36="","",AS36*(1+'[6]Assets to be Leased'!$B$9))</f>
        <v/>
      </c>
      <c r="DE37" s="144">
        <f>BA36*(1+'[6]Assets to be Leased'!$B$9)</f>
        <v>0</v>
      </c>
      <c r="DF37" s="144">
        <f>BI36*(1+'[6]Assets to be Leased'!$B$9)</f>
        <v>0</v>
      </c>
      <c r="DG37" s="144">
        <f>BQ36*(1+'[6]Assets to be Leased'!$B$9)</f>
        <v>0</v>
      </c>
      <c r="DH37" s="144">
        <f>BY36*(1+'[6]Assets to be Leased'!$B$9)</f>
        <v>0</v>
      </c>
      <c r="DI37" s="144">
        <f>CG36*(1+'[6]Assets to be Leased'!$B$9)</f>
        <v>0</v>
      </c>
      <c r="DJ37" s="144">
        <f>CO36*(1+'[6]Assets to be Leased'!$B$9)</f>
        <v>0</v>
      </c>
      <c r="DK37" s="176">
        <f>CW36*(1+'[6]Assets to be Leased'!$B$9)</f>
        <v>185191.4727671376</v>
      </c>
      <c r="DL37" s="176">
        <f t="shared" si="27"/>
        <v>185191.4727671376</v>
      </c>
      <c r="DM37" s="161">
        <f t="array" ref="DM37">IFERROR(SMALL(IF(DA37:DC37&gt;0,DA37:DC37),1),0)</f>
        <v>0</v>
      </c>
      <c r="DN37" s="78">
        <v>42917</v>
      </c>
      <c r="DO37" s="169">
        <f>IF(DS36+DR37&gt;DM37,HLOOKUP(DM37,DA37:$DL$82,1,FALSE),0)</f>
        <v>0</v>
      </c>
      <c r="DP37" s="68">
        <f t="shared" si="49"/>
        <v>0</v>
      </c>
      <c r="DQ37" s="68"/>
      <c r="DR37" s="68">
        <f t="shared" si="47"/>
        <v>0</v>
      </c>
      <c r="DS37" s="170">
        <f t="shared" si="48"/>
        <v>90000</v>
      </c>
      <c r="DU37" s="207"/>
      <c r="DV37" s="208"/>
      <c r="DW37" s="208"/>
      <c r="DX37" s="208"/>
      <c r="DY37" s="208"/>
      <c r="DZ37" s="203"/>
      <c r="EA37" s="208"/>
      <c r="EB37" s="208"/>
      <c r="EC37" s="206"/>
    </row>
    <row r="38" spans="1:133">
      <c r="A38" s="1784"/>
      <c r="B38" s="23" t="s">
        <v>63</v>
      </c>
      <c r="C38" s="8">
        <f>AA42</f>
        <v>0</v>
      </c>
      <c r="D38" s="8">
        <f>AA55</f>
        <v>0</v>
      </c>
      <c r="E38" s="8">
        <f>AA68</f>
        <v>0</v>
      </c>
      <c r="F38" s="8">
        <f>AA81</f>
        <v>0</v>
      </c>
      <c r="G38" s="8">
        <f>AA94</f>
        <v>0</v>
      </c>
      <c r="H38" s="8">
        <f>AA107</f>
        <v>0</v>
      </c>
      <c r="I38" s="8">
        <f>AA120</f>
        <v>0</v>
      </c>
      <c r="J38" s="8">
        <f>AA133</f>
        <v>0</v>
      </c>
      <c r="K38" s="8">
        <f>AA146</f>
        <v>0</v>
      </c>
      <c r="L38" s="62"/>
      <c r="M38" s="12"/>
      <c r="O38" s="116">
        <f t="shared" si="36"/>
        <v>0</v>
      </c>
      <c r="P38" s="78">
        <v>42979</v>
      </c>
      <c r="Q38" s="95"/>
      <c r="R38" s="80"/>
      <c r="S38" s="95"/>
      <c r="T38" s="80"/>
      <c r="U38" s="80"/>
      <c r="V38" s="86"/>
      <c r="W38" s="116">
        <f t="shared" si="37"/>
        <v>0</v>
      </c>
      <c r="X38" s="78">
        <v>42979</v>
      </c>
      <c r="Y38" s="104"/>
      <c r="Z38" s="105"/>
      <c r="AA38" s="104"/>
      <c r="AB38" s="105"/>
      <c r="AC38" s="105"/>
      <c r="AE38" s="116">
        <f t="shared" si="38"/>
        <v>0</v>
      </c>
      <c r="AF38" s="78">
        <v>42979</v>
      </c>
      <c r="AG38" s="3"/>
      <c r="AH38" s="5"/>
      <c r="AI38" s="68"/>
      <c r="AJ38" s="6"/>
      <c r="AK38" s="6"/>
      <c r="AM38" s="116">
        <f t="shared" si="39"/>
        <v>0</v>
      </c>
      <c r="AN38" s="78">
        <v>42979</v>
      </c>
      <c r="AO38" s="3"/>
      <c r="AP38" s="5"/>
      <c r="AQ38" s="68"/>
      <c r="AR38" s="6"/>
      <c r="AS38" s="6"/>
      <c r="AU38" s="116">
        <f t="shared" si="40"/>
        <v>0</v>
      </c>
      <c r="AV38" s="78">
        <v>42979</v>
      </c>
      <c r="AW38" s="3"/>
      <c r="AX38" s="5"/>
      <c r="AY38" s="68"/>
      <c r="AZ38" s="6"/>
      <c r="BA38" s="6"/>
      <c r="BC38" s="116">
        <f t="shared" si="41"/>
        <v>0</v>
      </c>
      <c r="BD38" s="78">
        <v>42979</v>
      </c>
      <c r="BE38" s="3"/>
      <c r="BF38" s="5"/>
      <c r="BG38" s="68"/>
      <c r="BH38" s="6"/>
      <c r="BI38" s="6"/>
      <c r="BK38" s="116">
        <f t="shared" si="42"/>
        <v>0</v>
      </c>
      <c r="BL38" s="78">
        <v>42979</v>
      </c>
      <c r="BM38" s="3"/>
      <c r="BN38" s="5"/>
      <c r="BO38" s="68"/>
      <c r="BP38" s="6"/>
      <c r="BQ38" s="6"/>
      <c r="BS38" s="116">
        <f t="shared" si="43"/>
        <v>0</v>
      </c>
      <c r="BT38" s="78">
        <v>42979</v>
      </c>
      <c r="BU38" s="3"/>
      <c r="BV38" s="5"/>
      <c r="BW38" s="68"/>
      <c r="BX38" s="6"/>
      <c r="BY38" s="6"/>
      <c r="CA38" s="116">
        <f t="shared" si="44"/>
        <v>0</v>
      </c>
      <c r="CB38" s="78">
        <v>42979</v>
      </c>
      <c r="CC38" s="3"/>
      <c r="CD38" s="5"/>
      <c r="CE38" s="68"/>
      <c r="CF38" s="6"/>
      <c r="CG38" s="6"/>
      <c r="CI38" s="116">
        <f t="shared" si="45"/>
        <v>0</v>
      </c>
      <c r="CJ38" s="78">
        <v>42979</v>
      </c>
      <c r="CK38" s="3"/>
      <c r="CL38" s="5"/>
      <c r="CM38" s="68"/>
      <c r="CN38" s="6"/>
      <c r="CO38" s="6"/>
      <c r="CQ38" s="116">
        <f t="shared" si="46"/>
        <v>7</v>
      </c>
      <c r="CR38" s="78">
        <v>42979</v>
      </c>
      <c r="CS38" s="3">
        <f>[6]IRR!AL32</f>
        <v>7119.7567446554722</v>
      </c>
      <c r="CT38" s="5">
        <f>CS38/(1+'[6]Assets to be Leased'!$B$9)</f>
        <v>6137.721331599545</v>
      </c>
      <c r="CU38" s="68"/>
      <c r="CV38" s="6">
        <f>[6]IRR!AO32</f>
        <v>1624.8935045630678</v>
      </c>
      <c r="CW38" s="6">
        <f>[6]IRR!AP32/(1+'[6]Assets to be Leased'!$B$9)</f>
        <v>150216.3573779031</v>
      </c>
      <c r="CZ38" s="78">
        <v>42948</v>
      </c>
      <c r="DA38" s="142">
        <f>IF(DO37&gt;=DA37,0,U37*(1+'[6]Assets to be Leased'!$B$9))</f>
        <v>0</v>
      </c>
      <c r="DB38" s="143">
        <f>IF(DO37&gt;=DB37,0,AC37*(1+'[6]Assets to be Leased'!$B$9))</f>
        <v>0</v>
      </c>
      <c r="DC38" s="143">
        <f>IF(DO37&gt;=DC37,0,AK37*(1+'[6]Assets to be Leased'!$B$9))</f>
        <v>0</v>
      </c>
      <c r="DD38" s="144" t="str">
        <f>IF(AS37="","",AS37*(1+'[6]Assets to be Leased'!$B$9))</f>
        <v/>
      </c>
      <c r="DE38" s="144">
        <f>BA37*(1+'[6]Assets to be Leased'!$B$9)</f>
        <v>0</v>
      </c>
      <c r="DF38" s="144">
        <f>BI37*(1+'[6]Assets to be Leased'!$B$9)</f>
        <v>0</v>
      </c>
      <c r="DG38" s="144">
        <f>BQ37*(1+'[6]Assets to be Leased'!$B$9)</f>
        <v>0</v>
      </c>
      <c r="DH38" s="144">
        <f>BY37*(1+'[6]Assets to be Leased'!$B$9)</f>
        <v>0</v>
      </c>
      <c r="DI38" s="144">
        <f>CG37*(1+'[6]Assets to be Leased'!$B$9)</f>
        <v>0</v>
      </c>
      <c r="DJ38" s="144">
        <f>CO37*(1+'[6]Assets to be Leased'!$B$9)</f>
        <v>0</v>
      </c>
      <c r="DK38" s="176">
        <f>CW37*(1+'[6]Assets to be Leased'!$B$9)</f>
        <v>179745.83779846001</v>
      </c>
      <c r="DL38" s="176">
        <f t="shared" si="27"/>
        <v>179745.83779846001</v>
      </c>
      <c r="DM38" s="161">
        <f t="array" ref="DM38">IFERROR(SMALL(IF(DA38:DC38&gt;0,DA38:DC38),1),0)</f>
        <v>0</v>
      </c>
      <c r="DN38" s="78">
        <v>42948</v>
      </c>
      <c r="DO38" s="169">
        <f>IF(DS37+DR38&gt;DM38,HLOOKUP(DM38,DA38:$DL$82,1,FALSE),0)</f>
        <v>0</v>
      </c>
      <c r="DP38" s="68">
        <f t="shared" si="49"/>
        <v>0</v>
      </c>
      <c r="DQ38" s="68"/>
      <c r="DR38" s="68">
        <f t="shared" si="47"/>
        <v>0</v>
      </c>
      <c r="DS38" s="170">
        <f t="shared" si="48"/>
        <v>90000</v>
      </c>
      <c r="DU38" s="209"/>
      <c r="DV38" s="210"/>
      <c r="DW38" s="210"/>
      <c r="DX38" s="210"/>
      <c r="DY38" s="210"/>
      <c r="DZ38" s="206"/>
      <c r="EA38" s="208"/>
      <c r="EB38" s="208"/>
      <c r="EC38" s="211"/>
    </row>
    <row r="39" spans="1:133">
      <c r="A39" s="1785"/>
      <c r="B39" s="64" t="s">
        <v>64</v>
      </c>
      <c r="C39" s="61">
        <f>IF(AC29-C38&lt;0,0,AC29-C38)</f>
        <v>0</v>
      </c>
      <c r="D39" s="61">
        <f>IF(AC42-D38&lt;0,0,AC42-D38)</f>
        <v>0</v>
      </c>
      <c r="E39" s="61">
        <f>IF(AC55-E38&lt;0,0,AC55-E38)</f>
        <v>0</v>
      </c>
      <c r="F39" s="61">
        <f>IF(AC68-F38&lt;0,0,AC68-F38)</f>
        <v>0</v>
      </c>
      <c r="G39" s="61">
        <f>IF(AC81-G38&lt;0,0,AC81-G38)</f>
        <v>0</v>
      </c>
      <c r="H39" s="61">
        <f>IF(AC94-H38&lt;0,0,AC94-H38)</f>
        <v>0</v>
      </c>
      <c r="I39" s="61">
        <f>IF(AC107-I38&lt;0,0,AC107-I38)</f>
        <v>0</v>
      </c>
      <c r="J39" s="61">
        <f>IF(AC120-J38&lt;0,0,AC120-J38)</f>
        <v>0</v>
      </c>
      <c r="K39" s="61">
        <f>IF(AC133-K38&lt;0,0,AC133-K38)</f>
        <v>0</v>
      </c>
      <c r="L39" s="65">
        <f>IF(AC146-L38&lt;0,0,AC146-L38)</f>
        <v>0</v>
      </c>
      <c r="M39" s="12"/>
      <c r="O39" s="116">
        <f t="shared" si="36"/>
        <v>0</v>
      </c>
      <c r="P39" s="78">
        <v>43009</v>
      </c>
      <c r="Q39" s="95"/>
      <c r="R39" s="80"/>
      <c r="S39" s="95"/>
      <c r="T39" s="80"/>
      <c r="U39" s="80"/>
      <c r="V39" s="86"/>
      <c r="W39" s="116">
        <f t="shared" si="37"/>
        <v>0</v>
      </c>
      <c r="X39" s="78">
        <v>43009</v>
      </c>
      <c r="Y39" s="104"/>
      <c r="Z39" s="105"/>
      <c r="AA39" s="104"/>
      <c r="AB39" s="105"/>
      <c r="AC39" s="105"/>
      <c r="AE39" s="116">
        <f t="shared" si="38"/>
        <v>0</v>
      </c>
      <c r="AF39" s="78">
        <v>43009</v>
      </c>
      <c r="AG39" s="3"/>
      <c r="AH39" s="5"/>
      <c r="AI39" s="68"/>
      <c r="AJ39" s="6"/>
      <c r="AK39" s="6"/>
      <c r="AM39" s="116">
        <f t="shared" si="39"/>
        <v>0</v>
      </c>
      <c r="AN39" s="78">
        <v>43009</v>
      </c>
      <c r="AO39" s="3"/>
      <c r="AP39" s="5"/>
      <c r="AQ39" s="68"/>
      <c r="AR39" s="6"/>
      <c r="AS39" s="6"/>
      <c r="AU39" s="116">
        <f t="shared" si="40"/>
        <v>0</v>
      </c>
      <c r="AV39" s="78">
        <v>43009</v>
      </c>
      <c r="AW39" s="3"/>
      <c r="AX39" s="5"/>
      <c r="AY39" s="68"/>
      <c r="AZ39" s="6"/>
      <c r="BA39" s="6"/>
      <c r="BC39" s="116">
        <f t="shared" si="41"/>
        <v>0</v>
      </c>
      <c r="BD39" s="78">
        <v>43009</v>
      </c>
      <c r="BE39" s="3"/>
      <c r="BF39" s="5"/>
      <c r="BG39" s="68"/>
      <c r="BH39" s="6"/>
      <c r="BI39" s="6"/>
      <c r="BK39" s="116">
        <f t="shared" si="42"/>
        <v>0</v>
      </c>
      <c r="BL39" s="78">
        <v>43009</v>
      </c>
      <c r="BM39" s="3"/>
      <c r="BN39" s="5"/>
      <c r="BO39" s="68"/>
      <c r="BP39" s="6"/>
      <c r="BQ39" s="6"/>
      <c r="BS39" s="116">
        <f t="shared" si="43"/>
        <v>0</v>
      </c>
      <c r="BT39" s="78">
        <v>43009</v>
      </c>
      <c r="BU39" s="3"/>
      <c r="BV39" s="5"/>
      <c r="BW39" s="68"/>
      <c r="BX39" s="6"/>
      <c r="BY39" s="6"/>
      <c r="CA39" s="116">
        <f t="shared" si="44"/>
        <v>0</v>
      </c>
      <c r="CB39" s="78">
        <v>43009</v>
      </c>
      <c r="CC39" s="3"/>
      <c r="CD39" s="5"/>
      <c r="CE39" s="68"/>
      <c r="CF39" s="6"/>
      <c r="CG39" s="6"/>
      <c r="CI39" s="116">
        <f t="shared" si="45"/>
        <v>0</v>
      </c>
      <c r="CJ39" s="78">
        <v>43009</v>
      </c>
      <c r="CK39" s="3"/>
      <c r="CL39" s="5"/>
      <c r="CM39" s="68"/>
      <c r="CN39" s="6"/>
      <c r="CO39" s="6"/>
      <c r="CQ39" s="116">
        <f t="shared" si="46"/>
        <v>8</v>
      </c>
      <c r="CR39" s="78">
        <v>43009</v>
      </c>
      <c r="CS39" s="3">
        <f>[6]IRR!AL33</f>
        <v>7119.7567446554722</v>
      </c>
      <c r="CT39" s="5">
        <f>CS39/(1+'[6]Assets to be Leased'!$B$9)</f>
        <v>6137.721331599545</v>
      </c>
      <c r="CU39" s="68"/>
      <c r="CV39" s="6">
        <f>[6]IRR!AO33</f>
        <v>1575.2202120037171</v>
      </c>
      <c r="CW39" s="6">
        <f>[6]IRR!AP33/(1+'[6]Assets to be Leased'!$B$9)</f>
        <v>145436.58450492748</v>
      </c>
      <c r="CZ39" s="78">
        <v>42979</v>
      </c>
      <c r="DA39" s="142">
        <f>IF(DO38&gt;=DA38,0,U38*(1+'[6]Assets to be Leased'!$B$9))</f>
        <v>0</v>
      </c>
      <c r="DB39" s="143">
        <f>IF(DO38&gt;=DB38,0,AC38*(1+'[6]Assets to be Leased'!$B$9))</f>
        <v>0</v>
      </c>
      <c r="DC39" s="143">
        <f>IF(DO38&gt;=DC38,0,AK38*(1+'[6]Assets to be Leased'!$B$9))</f>
        <v>0</v>
      </c>
      <c r="DD39" s="144" t="str">
        <f>IF(AS38="","",AS38*(1+'[6]Assets to be Leased'!$B$9))</f>
        <v/>
      </c>
      <c r="DE39" s="144">
        <f>BA38*(1+'[6]Assets to be Leased'!$B$9)</f>
        <v>0</v>
      </c>
      <c r="DF39" s="144">
        <f>BI38*(1+'[6]Assets to be Leased'!$B$9)</f>
        <v>0</v>
      </c>
      <c r="DG39" s="144">
        <f>BQ38*(1+'[6]Assets to be Leased'!$B$9)</f>
        <v>0</v>
      </c>
      <c r="DH39" s="144">
        <f>BY38*(1+'[6]Assets to be Leased'!$B$9)</f>
        <v>0</v>
      </c>
      <c r="DI39" s="144">
        <f>CG38*(1+'[6]Assets to be Leased'!$B$9)</f>
        <v>0</v>
      </c>
      <c r="DJ39" s="144">
        <f>CO38*(1+'[6]Assets to be Leased'!$B$9)</f>
        <v>0</v>
      </c>
      <c r="DK39" s="176">
        <f>CW38*(1+'[6]Assets to be Leased'!$B$9)</f>
        <v>174250.9745583676</v>
      </c>
      <c r="DL39" s="176">
        <f t="shared" si="27"/>
        <v>174250.9745583676</v>
      </c>
      <c r="DM39" s="161">
        <f t="array" ref="DM39">IFERROR(SMALL(IF(DA39:DC39&gt;0,DA39:DC39),1),0)</f>
        <v>0</v>
      </c>
      <c r="DN39" s="78">
        <v>42979</v>
      </c>
      <c r="DO39" s="169">
        <f>IF(DS38+DR39&gt;DM39,HLOOKUP(DM39,DA39:$DL$82,1,FALSE),0)</f>
        <v>0</v>
      </c>
      <c r="DP39" s="68">
        <f t="shared" si="49"/>
        <v>0</v>
      </c>
      <c r="DQ39" s="68"/>
      <c r="DR39" s="68">
        <f t="shared" si="47"/>
        <v>0</v>
      </c>
      <c r="DS39" s="170">
        <f t="shared" si="48"/>
        <v>90000</v>
      </c>
      <c r="DU39" s="207"/>
      <c r="DV39" s="208"/>
      <c r="DW39" s="208"/>
      <c r="DX39" s="208"/>
      <c r="DY39" s="208"/>
      <c r="DZ39" s="208"/>
      <c r="EA39" s="208"/>
      <c r="EB39" s="208"/>
    </row>
    <row r="40" spans="1:133">
      <c r="A40" s="1783">
        <f>B6</f>
        <v>0</v>
      </c>
      <c r="B40" s="122" t="s">
        <v>67</v>
      </c>
      <c r="C40" s="11">
        <f>AG29</f>
        <v>0</v>
      </c>
      <c r="D40" s="11">
        <f>AG42</f>
        <v>0</v>
      </c>
      <c r="E40" s="11">
        <f>AG55</f>
        <v>0</v>
      </c>
      <c r="F40" s="11">
        <f>AG68</f>
        <v>0</v>
      </c>
      <c r="G40" s="11">
        <f>AG81</f>
        <v>0</v>
      </c>
      <c r="H40" s="11">
        <f>AG94</f>
        <v>0</v>
      </c>
      <c r="I40" s="11">
        <f>AG107</f>
        <v>0</v>
      </c>
      <c r="J40" s="11">
        <f>AG120</f>
        <v>0</v>
      </c>
      <c r="K40" s="11">
        <f>AG133</f>
        <v>0</v>
      </c>
      <c r="L40" s="74">
        <f>AG146</f>
        <v>0</v>
      </c>
      <c r="M40" s="12"/>
      <c r="O40" s="116">
        <f t="shared" si="36"/>
        <v>0</v>
      </c>
      <c r="P40" s="78">
        <v>43040</v>
      </c>
      <c r="Q40" s="95"/>
      <c r="R40" s="80"/>
      <c r="S40" s="95"/>
      <c r="T40" s="80"/>
      <c r="U40" s="80"/>
      <c r="V40" s="86"/>
      <c r="W40" s="116">
        <f t="shared" si="37"/>
        <v>0</v>
      </c>
      <c r="X40" s="78">
        <v>43040</v>
      </c>
      <c r="Y40" s="104"/>
      <c r="Z40" s="105"/>
      <c r="AA40" s="104"/>
      <c r="AB40" s="105"/>
      <c r="AC40" s="109"/>
      <c r="AE40" s="116">
        <f t="shared" si="38"/>
        <v>0</v>
      </c>
      <c r="AF40" s="78">
        <v>43040</v>
      </c>
      <c r="AG40" s="3"/>
      <c r="AH40" s="5"/>
      <c r="AI40" s="68"/>
      <c r="AJ40" s="6"/>
      <c r="AK40" s="70"/>
      <c r="AM40" s="116">
        <f t="shared" si="39"/>
        <v>0</v>
      </c>
      <c r="AN40" s="78">
        <v>43040</v>
      </c>
      <c r="AO40" s="3"/>
      <c r="AP40" s="5"/>
      <c r="AQ40" s="68"/>
      <c r="AR40" s="6"/>
      <c r="AS40" s="70"/>
      <c r="AU40" s="116">
        <f t="shared" si="40"/>
        <v>0</v>
      </c>
      <c r="AV40" s="78">
        <v>43040</v>
      </c>
      <c r="AW40" s="3"/>
      <c r="AX40" s="5"/>
      <c r="AY40" s="68"/>
      <c r="AZ40" s="6"/>
      <c r="BA40" s="70"/>
      <c r="BC40" s="116">
        <f t="shared" si="41"/>
        <v>0</v>
      </c>
      <c r="BD40" s="78">
        <v>43040</v>
      </c>
      <c r="BE40" s="3"/>
      <c r="BF40" s="5"/>
      <c r="BG40" s="68"/>
      <c r="BH40" s="6"/>
      <c r="BI40" s="70"/>
      <c r="BK40" s="116">
        <f t="shared" si="42"/>
        <v>0</v>
      </c>
      <c r="BL40" s="78">
        <v>43040</v>
      </c>
      <c r="BM40" s="3"/>
      <c r="BN40" s="5"/>
      <c r="BO40" s="68"/>
      <c r="BP40" s="6"/>
      <c r="BQ40" s="70"/>
      <c r="BS40" s="116">
        <f t="shared" si="43"/>
        <v>0</v>
      </c>
      <c r="BT40" s="78">
        <v>43040</v>
      </c>
      <c r="BU40" s="3"/>
      <c r="BV40" s="5"/>
      <c r="BW40" s="68"/>
      <c r="BX40" s="6"/>
      <c r="BY40" s="70"/>
      <c r="CA40" s="116">
        <f t="shared" si="44"/>
        <v>0</v>
      </c>
      <c r="CB40" s="78">
        <v>43040</v>
      </c>
      <c r="CC40" s="3"/>
      <c r="CD40" s="5"/>
      <c r="CE40" s="68"/>
      <c r="CF40" s="6"/>
      <c r="CG40" s="70"/>
      <c r="CI40" s="116">
        <f t="shared" si="45"/>
        <v>0</v>
      </c>
      <c r="CJ40" s="78">
        <v>43040</v>
      </c>
      <c r="CK40" s="3"/>
      <c r="CL40" s="5"/>
      <c r="CM40" s="68"/>
      <c r="CN40" s="6"/>
      <c r="CO40" s="70"/>
      <c r="CQ40" s="116">
        <f t="shared" si="46"/>
        <v>9</v>
      </c>
      <c r="CR40" s="78">
        <v>43040</v>
      </c>
      <c r="CS40" s="3">
        <f>[6]IRR!AL34</f>
        <v>7119.7567446554722</v>
      </c>
      <c r="CT40" s="5">
        <f>CS40/(1+'[6]Assets to be Leased'!$B$9)</f>
        <v>6137.721331599545</v>
      </c>
      <c r="CU40" s="68"/>
      <c r="CV40" s="6">
        <f>[6]IRR!AO34</f>
        <v>1525.097875330641</v>
      </c>
      <c r="CW40" s="6">
        <f>[6]IRR!AP34/(1+'[6]Assets to be Leased'!$B$9)</f>
        <v>140613.60272102675</v>
      </c>
      <c r="CZ40" s="78">
        <v>43009</v>
      </c>
      <c r="DA40" s="142">
        <f>IF(DO39&gt;=DA39,0,U39*(1+'[6]Assets to be Leased'!$B$9))</f>
        <v>0</v>
      </c>
      <c r="DB40" s="143">
        <f>IF(DO39&gt;=DB39,0,AC39*(1+'[6]Assets to be Leased'!$B$9))</f>
        <v>0</v>
      </c>
      <c r="DC40" s="143">
        <f>IF(DO39&gt;=DC39,0,AK39*(1+'[6]Assets to be Leased'!$B$9))</f>
        <v>0</v>
      </c>
      <c r="DD40" s="144" t="str">
        <f>IF(AS39="","",AS39*(1+'[6]Assets to be Leased'!$B$9))</f>
        <v/>
      </c>
      <c r="DE40" s="144">
        <f>BA39*(1+'[6]Assets to be Leased'!$B$9)</f>
        <v>0</v>
      </c>
      <c r="DF40" s="144">
        <f>BI39*(1+'[6]Assets to be Leased'!$B$9)</f>
        <v>0</v>
      </c>
      <c r="DG40" s="144">
        <f>BQ39*(1+'[6]Assets to be Leased'!$B$9)</f>
        <v>0</v>
      </c>
      <c r="DH40" s="144">
        <f>BY39*(1+'[6]Assets to be Leased'!$B$9)</f>
        <v>0</v>
      </c>
      <c r="DI40" s="144">
        <f>CG39*(1+'[6]Assets to be Leased'!$B$9)</f>
        <v>0</v>
      </c>
      <c r="DJ40" s="144">
        <f>CO39*(1+'[6]Assets to be Leased'!$B$9)</f>
        <v>0</v>
      </c>
      <c r="DK40" s="176">
        <f>CW39*(1+'[6]Assets to be Leased'!$B$9)</f>
        <v>168706.43802571588</v>
      </c>
      <c r="DL40" s="176">
        <f t="shared" si="27"/>
        <v>168706.43802571588</v>
      </c>
      <c r="DM40" s="161">
        <f t="array" ref="DM40">IFERROR(SMALL(IF(DA40:DC40&gt;0,DA40:DC40),1),0)</f>
        <v>0</v>
      </c>
      <c r="DN40" s="78">
        <v>43009</v>
      </c>
      <c r="DO40" s="169">
        <f>IF(DS39+DR40&gt;DM40,HLOOKUP(DM40,DA40:$DL$82,1,FALSE),0)</f>
        <v>0</v>
      </c>
      <c r="DP40" s="68">
        <f t="shared" si="49"/>
        <v>0</v>
      </c>
      <c r="DQ40" s="68"/>
      <c r="DR40" s="68">
        <f t="shared" si="47"/>
        <v>0</v>
      </c>
      <c r="DS40" s="170">
        <f t="shared" si="48"/>
        <v>90000</v>
      </c>
    </row>
    <row r="41" spans="1:133">
      <c r="A41" s="1784"/>
      <c r="B41" s="23" t="s">
        <v>69</v>
      </c>
      <c r="C41" s="9">
        <f>AH29</f>
        <v>0</v>
      </c>
      <c r="D41" s="9">
        <f>AH42</f>
        <v>0</v>
      </c>
      <c r="E41" s="9">
        <f>AH55</f>
        <v>0</v>
      </c>
      <c r="F41" s="9">
        <f>AH68</f>
        <v>0</v>
      </c>
      <c r="G41" s="9">
        <f>AH81</f>
        <v>0</v>
      </c>
      <c r="H41" s="9">
        <f>AH94</f>
        <v>0</v>
      </c>
      <c r="I41" s="9">
        <f>AH107</f>
        <v>0</v>
      </c>
      <c r="J41" s="9">
        <f>AH120</f>
        <v>0</v>
      </c>
      <c r="K41" s="9">
        <f>AH133</f>
        <v>0</v>
      </c>
      <c r="L41" s="22">
        <f>AH146</f>
        <v>0</v>
      </c>
      <c r="M41" s="12"/>
      <c r="O41" s="116">
        <f t="shared" si="36"/>
        <v>0</v>
      </c>
      <c r="P41" s="78">
        <v>43070</v>
      </c>
      <c r="Q41" s="95"/>
      <c r="R41" s="80"/>
      <c r="S41" s="95"/>
      <c r="T41" s="80"/>
      <c r="U41" s="80"/>
      <c r="V41" s="86"/>
      <c r="W41" s="116">
        <f t="shared" si="37"/>
        <v>0</v>
      </c>
      <c r="X41" s="78">
        <v>43070</v>
      </c>
      <c r="Y41" s="104"/>
      <c r="Z41" s="105"/>
      <c r="AA41" s="104"/>
      <c r="AB41" s="105"/>
      <c r="AC41" s="110"/>
      <c r="AE41" s="116">
        <f t="shared" si="38"/>
        <v>0</v>
      </c>
      <c r="AF41" s="78">
        <v>43070</v>
      </c>
      <c r="AG41" s="3"/>
      <c r="AH41" s="5"/>
      <c r="AI41" s="68"/>
      <c r="AJ41" s="6"/>
      <c r="AK41" s="71"/>
      <c r="AM41" s="116">
        <f t="shared" si="39"/>
        <v>0</v>
      </c>
      <c r="AN41" s="78">
        <v>43070</v>
      </c>
      <c r="AO41" s="3"/>
      <c r="AP41" s="5"/>
      <c r="AQ41" s="68"/>
      <c r="AR41" s="6"/>
      <c r="AS41" s="71"/>
      <c r="AU41" s="116">
        <f t="shared" si="40"/>
        <v>0</v>
      </c>
      <c r="AV41" s="78">
        <v>43070</v>
      </c>
      <c r="AW41" s="3"/>
      <c r="AX41" s="5"/>
      <c r="AY41" s="68"/>
      <c r="AZ41" s="6"/>
      <c r="BA41" s="71"/>
      <c r="BC41" s="116">
        <f t="shared" si="41"/>
        <v>0</v>
      </c>
      <c r="BD41" s="78">
        <v>43070</v>
      </c>
      <c r="BE41" s="3"/>
      <c r="BF41" s="5"/>
      <c r="BG41" s="68"/>
      <c r="BH41" s="6"/>
      <c r="BI41" s="71"/>
      <c r="BK41" s="116">
        <f t="shared" si="42"/>
        <v>0</v>
      </c>
      <c r="BL41" s="78">
        <v>43070</v>
      </c>
      <c r="BM41" s="3"/>
      <c r="BN41" s="5"/>
      <c r="BO41" s="68"/>
      <c r="BP41" s="6"/>
      <c r="BQ41" s="71"/>
      <c r="BS41" s="116">
        <f t="shared" si="43"/>
        <v>0</v>
      </c>
      <c r="BT41" s="78">
        <v>43070</v>
      </c>
      <c r="BU41" s="3"/>
      <c r="BV41" s="5"/>
      <c r="BW41" s="68"/>
      <c r="BX41" s="6"/>
      <c r="BY41" s="71"/>
      <c r="CA41" s="116">
        <f t="shared" si="44"/>
        <v>0</v>
      </c>
      <c r="CB41" s="78">
        <v>43070</v>
      </c>
      <c r="CC41" s="3"/>
      <c r="CD41" s="5"/>
      <c r="CE41" s="68"/>
      <c r="CF41" s="6"/>
      <c r="CG41" s="71"/>
      <c r="CI41" s="116">
        <f t="shared" si="45"/>
        <v>0</v>
      </c>
      <c r="CJ41" s="78">
        <v>43070</v>
      </c>
      <c r="CK41" s="3"/>
      <c r="CL41" s="5"/>
      <c r="CM41" s="68"/>
      <c r="CN41" s="6"/>
      <c r="CO41" s="71"/>
      <c r="CQ41" s="116">
        <f t="shared" si="46"/>
        <v>0</v>
      </c>
      <c r="CR41" s="78">
        <v>43070</v>
      </c>
      <c r="CS41" s="3">
        <f>[6]IRR!AL35</f>
        <v>0</v>
      </c>
      <c r="CT41" s="5">
        <f>CS41/(1+'[6]Assets to be Leased'!$B$9)</f>
        <v>0</v>
      </c>
      <c r="CU41" s="68"/>
      <c r="CV41" s="6">
        <f>[6]IRR!AO35</f>
        <v>1474.5224352072094</v>
      </c>
      <c r="CW41" s="6">
        <f>[6]IRR!AP35/(1+'[6]Assets to be Leased'!$B$9)</f>
        <v>141884.74275137778</v>
      </c>
      <c r="CZ41" s="78">
        <v>43040</v>
      </c>
      <c r="DA41" s="142">
        <f>IF(DO40&gt;=DA40,0,U40*(1+'[6]Assets to be Leased'!$B$9))</f>
        <v>0</v>
      </c>
      <c r="DB41" s="143">
        <f>IF(DO40&gt;=DB40,0,AC40*(1+'[6]Assets to be Leased'!$B$9))</f>
        <v>0</v>
      </c>
      <c r="DC41" s="143">
        <f>IF(DO40&gt;=DC40,0,AK40*(1+'[6]Assets to be Leased'!$B$9))</f>
        <v>0</v>
      </c>
      <c r="DD41" s="144" t="str">
        <f>IF(AS40="","",AS40*(1+'[6]Assets to be Leased'!$B$9))</f>
        <v/>
      </c>
      <c r="DE41" s="144">
        <f>BA40*(1+'[6]Assets to be Leased'!$B$9)</f>
        <v>0</v>
      </c>
      <c r="DF41" s="144">
        <f>BI40*(1+'[6]Assets to be Leased'!$B$9)</f>
        <v>0</v>
      </c>
      <c r="DG41" s="144">
        <f>BQ40*(1+'[6]Assets to be Leased'!$B$9)</f>
        <v>0</v>
      </c>
      <c r="DH41" s="144">
        <f>BY40*(1+'[6]Assets to be Leased'!$B$9)</f>
        <v>0</v>
      </c>
      <c r="DI41" s="144">
        <f>CG40*(1+'[6]Assets to be Leased'!$B$9)</f>
        <v>0</v>
      </c>
      <c r="DJ41" s="144">
        <f>CO40*(1+'[6]Assets to be Leased'!$B$9)</f>
        <v>0</v>
      </c>
      <c r="DK41" s="176">
        <f>CW40*(1+'[6]Assets to be Leased'!$B$9)</f>
        <v>163111.77915639101</v>
      </c>
      <c r="DL41" s="176">
        <f t="shared" si="27"/>
        <v>163111.77915639101</v>
      </c>
      <c r="DM41" s="161">
        <f t="array" ref="DM41">IFERROR(SMALL(IF(DA41:DC41&gt;0,DA41:DC41),1),0)</f>
        <v>0</v>
      </c>
      <c r="DN41" s="78">
        <v>43040</v>
      </c>
      <c r="DO41" s="169">
        <f>IF(DS40+DR41&gt;DM41,HLOOKUP(DM41,DA41:$DL$82,1,FALSE),0)</f>
        <v>0</v>
      </c>
      <c r="DP41" s="212"/>
      <c r="DQ41" s="68"/>
      <c r="DR41" s="68">
        <f t="shared" si="47"/>
        <v>0</v>
      </c>
      <c r="DS41" s="170">
        <f t="shared" si="48"/>
        <v>90000</v>
      </c>
    </row>
    <row r="42" spans="1:133">
      <c r="A42" s="1784"/>
      <c r="B42" s="23" t="s">
        <v>68</v>
      </c>
      <c r="C42" s="9">
        <f>C40-C41</f>
        <v>0</v>
      </c>
      <c r="D42" s="9">
        <f>D40-D41</f>
        <v>0</v>
      </c>
      <c r="E42" s="9">
        <f>E40-E41</f>
        <v>0</v>
      </c>
      <c r="F42" s="9">
        <f t="shared" ref="F42:L42" si="51">F40-F41</f>
        <v>0</v>
      </c>
      <c r="G42" s="9">
        <f t="shared" si="51"/>
        <v>0</v>
      </c>
      <c r="H42" s="9">
        <f t="shared" si="51"/>
        <v>0</v>
      </c>
      <c r="I42" s="9">
        <f t="shared" si="51"/>
        <v>0</v>
      </c>
      <c r="J42" s="9">
        <f t="shared" si="51"/>
        <v>0</v>
      </c>
      <c r="K42" s="9">
        <f t="shared" si="51"/>
        <v>0</v>
      </c>
      <c r="L42" s="22">
        <f t="shared" si="51"/>
        <v>0</v>
      </c>
      <c r="M42" s="12"/>
      <c r="O42" s="138" t="s">
        <v>20</v>
      </c>
      <c r="P42" s="87">
        <f>P29+1</f>
        <v>2017</v>
      </c>
      <c r="Q42" s="94">
        <f>SUM(Q30:Q41)</f>
        <v>0</v>
      </c>
      <c r="R42" s="94">
        <f>SUM(R30:R41)</f>
        <v>0</v>
      </c>
      <c r="S42" s="94">
        <f>SUM(S30:S41)</f>
        <v>0</v>
      </c>
      <c r="T42" s="94">
        <f>SUM(T30:T41)</f>
        <v>0</v>
      </c>
      <c r="U42" s="94">
        <f>U41</f>
        <v>0</v>
      </c>
      <c r="V42" s="101"/>
      <c r="W42" s="138" t="s">
        <v>20</v>
      </c>
      <c r="X42" s="87">
        <f>X29+1</f>
        <v>2017</v>
      </c>
      <c r="Y42" s="107">
        <f>SUM(Y30:Y41)</f>
        <v>0</v>
      </c>
      <c r="Z42" s="107">
        <f>SUM(Z30:Z41)</f>
        <v>0</v>
      </c>
      <c r="AA42" s="107">
        <f>SUM(AA30:AA41)</f>
        <v>0</v>
      </c>
      <c r="AB42" s="107">
        <f>SUM(AB30:AB41)</f>
        <v>0</v>
      </c>
      <c r="AC42" s="107">
        <f>AC41</f>
        <v>0</v>
      </c>
      <c r="AE42" s="138" t="s">
        <v>20</v>
      </c>
      <c r="AF42" s="87">
        <f>AF29+1</f>
        <v>2017</v>
      </c>
      <c r="AG42" s="107">
        <f>SUM(AG30:AG41)</f>
        <v>0</v>
      </c>
      <c r="AH42" s="107">
        <f>SUM(AH30:AH41)</f>
        <v>0</v>
      </c>
      <c r="AI42" s="107">
        <f>SUM(AI30:AI41)</f>
        <v>0</v>
      </c>
      <c r="AJ42" s="107">
        <f>SUM(AJ30:AJ41)</f>
        <v>0</v>
      </c>
      <c r="AK42" s="107">
        <f>AK41</f>
        <v>0</v>
      </c>
      <c r="AM42" s="138" t="s">
        <v>20</v>
      </c>
      <c r="AN42" s="87">
        <f>AN29+1</f>
        <v>2017</v>
      </c>
      <c r="AO42" s="107">
        <f>SUM(AO30:AO41)</f>
        <v>0</v>
      </c>
      <c r="AP42" s="107">
        <f>SUM(AP30:AP41)</f>
        <v>0</v>
      </c>
      <c r="AQ42" s="107">
        <f>SUM(AQ30:AQ41)</f>
        <v>0</v>
      </c>
      <c r="AR42" s="107">
        <f>SUM(AR30:AR41)</f>
        <v>0</v>
      </c>
      <c r="AS42" s="107">
        <f>AS41</f>
        <v>0</v>
      </c>
      <c r="AU42" s="138" t="s">
        <v>20</v>
      </c>
      <c r="AV42" s="87">
        <f>AV29+1</f>
        <v>2017</v>
      </c>
      <c r="AW42" s="107">
        <f>SUM(AW30:AW41)</f>
        <v>0</v>
      </c>
      <c r="AX42" s="107">
        <f>SUM(AX30:AX41)</f>
        <v>0</v>
      </c>
      <c r="AY42" s="107">
        <f>SUM(AY30:AY41)</f>
        <v>0</v>
      </c>
      <c r="AZ42" s="107">
        <f>SUM(AZ30:AZ41)</f>
        <v>0</v>
      </c>
      <c r="BA42" s="107">
        <f>BA41</f>
        <v>0</v>
      </c>
      <c r="BC42" s="138" t="s">
        <v>20</v>
      </c>
      <c r="BD42" s="87">
        <f>BD29+1</f>
        <v>2017</v>
      </c>
      <c r="BE42" s="107">
        <f>SUM(BE30:BE41)</f>
        <v>0</v>
      </c>
      <c r="BF42" s="107">
        <f>SUM(BF30:BF41)</f>
        <v>0</v>
      </c>
      <c r="BG42" s="107">
        <f>SUM(BG30:BG41)</f>
        <v>0</v>
      </c>
      <c r="BH42" s="107">
        <f>SUM(BH30:BH41)</f>
        <v>0</v>
      </c>
      <c r="BI42" s="107">
        <f>BI41</f>
        <v>0</v>
      </c>
      <c r="BK42" s="138" t="s">
        <v>20</v>
      </c>
      <c r="BL42" s="87">
        <f>BL29+1</f>
        <v>2017</v>
      </c>
      <c r="BM42" s="107">
        <f>SUM(BM30:BM41)</f>
        <v>0</v>
      </c>
      <c r="BN42" s="107">
        <f>SUM(BN30:BN41)</f>
        <v>0</v>
      </c>
      <c r="BO42" s="107">
        <f>SUM(BO30:BO41)</f>
        <v>0</v>
      </c>
      <c r="BP42" s="107">
        <f>SUM(BP30:BP41)</f>
        <v>0</v>
      </c>
      <c r="BQ42" s="107">
        <f>BQ41</f>
        <v>0</v>
      </c>
      <c r="BS42" s="138" t="s">
        <v>20</v>
      </c>
      <c r="BT42" s="87">
        <f>BT29+1</f>
        <v>2017</v>
      </c>
      <c r="BU42" s="107">
        <f>SUM(BU30:BU41)</f>
        <v>0</v>
      </c>
      <c r="BV42" s="107">
        <f>SUM(BV30:BV41)</f>
        <v>0</v>
      </c>
      <c r="BW42" s="107">
        <f>SUM(BW30:BW41)</f>
        <v>0</v>
      </c>
      <c r="BX42" s="107">
        <f>SUM(BX30:BX41)</f>
        <v>0</v>
      </c>
      <c r="BY42" s="107">
        <f>BY41</f>
        <v>0</v>
      </c>
      <c r="CA42" s="138" t="s">
        <v>20</v>
      </c>
      <c r="CB42" s="87">
        <f>CB29+1</f>
        <v>2017</v>
      </c>
      <c r="CC42" s="107">
        <f>SUM(CC30:CC41)</f>
        <v>0</v>
      </c>
      <c r="CD42" s="107">
        <f>SUM(CD30:CD41)</f>
        <v>0</v>
      </c>
      <c r="CE42" s="107">
        <f>SUM(CE30:CE41)</f>
        <v>0</v>
      </c>
      <c r="CF42" s="107">
        <f>SUM(CF30:CF41)</f>
        <v>0</v>
      </c>
      <c r="CG42" s="107">
        <f>CG41</f>
        <v>0</v>
      </c>
      <c r="CI42" s="138" t="s">
        <v>20</v>
      </c>
      <c r="CJ42" s="87">
        <f>CJ29+1</f>
        <v>2017</v>
      </c>
      <c r="CK42" s="107">
        <f>SUM(CK30:CK41)</f>
        <v>0</v>
      </c>
      <c r="CL42" s="107">
        <f>SUM(CL30:CL41)</f>
        <v>0</v>
      </c>
      <c r="CM42" s="107">
        <f>SUM(CM30:CM41)</f>
        <v>0</v>
      </c>
      <c r="CN42" s="107">
        <f>SUM(CN30:CN41)</f>
        <v>0</v>
      </c>
      <c r="CO42" s="107">
        <f>CO41</f>
        <v>0</v>
      </c>
      <c r="CQ42" s="138" t="s">
        <v>20</v>
      </c>
      <c r="CR42" s="87">
        <f>CR29+1</f>
        <v>2017</v>
      </c>
      <c r="CS42" s="107">
        <f>SUM(CS30:CS41)</f>
        <v>64077.81070189926</v>
      </c>
      <c r="CT42" s="107">
        <f>SUM(CT30:CT41)</f>
        <v>55239.491984395914</v>
      </c>
      <c r="CU42" s="107">
        <f>SUM(CU30:CU41)</f>
        <v>0</v>
      </c>
      <c r="CV42" s="107">
        <f>SUM(CV30:CV41)</f>
        <v>20743.760939843498</v>
      </c>
      <c r="CW42" s="107">
        <f>CW41</f>
        <v>141884.74275137778</v>
      </c>
      <c r="CZ42" s="78">
        <v>43070</v>
      </c>
      <c r="DA42" s="142">
        <f>IF(DO41&gt;=DA41,0,U41*(1+'[6]Assets to be Leased'!$B$9))</f>
        <v>0</v>
      </c>
      <c r="DB42" s="143">
        <f>IF(DO41&gt;=DB41,0,AC41*(1+'[6]Assets to be Leased'!$B$9))</f>
        <v>0</v>
      </c>
      <c r="DC42" s="143">
        <f>IF(DO41&gt;=DC41,0,AK41*(1+'[6]Assets to be Leased'!$B$9))</f>
        <v>0</v>
      </c>
      <c r="DD42" s="144" t="str">
        <f>IF(AS41="","",AS41*(1+'[6]Assets to be Leased'!$B$9))</f>
        <v/>
      </c>
      <c r="DE42" s="144">
        <f>BA41*(1+'[6]Assets to be Leased'!$B$9)</f>
        <v>0</v>
      </c>
      <c r="DF42" s="144">
        <f>BI41*(1+'[6]Assets to be Leased'!$B$9)</f>
        <v>0</v>
      </c>
      <c r="DG42" s="144">
        <f>BQ41*(1+'[6]Assets to be Leased'!$B$9)</f>
        <v>0</v>
      </c>
      <c r="DH42" s="144">
        <f>BY41*(1+'[6]Assets to be Leased'!$B$9)</f>
        <v>0</v>
      </c>
      <c r="DI42" s="144">
        <f>CG41*(1+'[6]Assets to be Leased'!$B$9)</f>
        <v>0</v>
      </c>
      <c r="DJ42" s="144">
        <f>CO41*(1+'[6]Assets to be Leased'!$B$9)</f>
        <v>0</v>
      </c>
      <c r="DK42" s="176">
        <f>CW41*(1+'[6]Assets to be Leased'!$B$9)</f>
        <v>164586.30159159823</v>
      </c>
      <c r="DL42" s="176">
        <f t="shared" si="27"/>
        <v>164586.30159159823</v>
      </c>
      <c r="DM42" s="161">
        <f t="array" ref="DM42">IFERROR(SMALL(IF(DA42:DC42&gt;0,DA42:DC42),1),0)</f>
        <v>0</v>
      </c>
      <c r="DN42" s="78">
        <v>43070</v>
      </c>
      <c r="DO42" s="169">
        <f>IF(DS41+DR42&gt;DM42,HLOOKUP(DM42,DA42:$DL$82,1,FALSE),0)</f>
        <v>0</v>
      </c>
      <c r="DP42" s="213"/>
      <c r="DQ42" s="213">
        <v>0</v>
      </c>
      <c r="DR42" s="68">
        <f t="shared" si="47"/>
        <v>0</v>
      </c>
      <c r="DS42" s="170">
        <f t="shared" si="48"/>
        <v>90000</v>
      </c>
      <c r="DT42" t="s">
        <v>104</v>
      </c>
    </row>
    <row r="43" spans="1:133">
      <c r="A43" s="1784"/>
      <c r="B43" s="23" t="s">
        <v>54</v>
      </c>
      <c r="C43" s="63">
        <f>AJ29</f>
        <v>0</v>
      </c>
      <c r="D43" s="8">
        <f>AJ42</f>
        <v>0</v>
      </c>
      <c r="E43" s="8">
        <f>AJ55</f>
        <v>0</v>
      </c>
      <c r="F43" s="9">
        <f>AJ68</f>
        <v>0</v>
      </c>
      <c r="G43" s="9">
        <f>AJ81</f>
        <v>0</v>
      </c>
      <c r="H43" s="9">
        <f>AJ94</f>
        <v>0</v>
      </c>
      <c r="I43" s="9">
        <f>AJ107</f>
        <v>0</v>
      </c>
      <c r="J43" s="9">
        <f>AJ120</f>
        <v>0</v>
      </c>
      <c r="K43" s="9">
        <f>AJ133</f>
        <v>0</v>
      </c>
      <c r="L43" s="22">
        <f>AJ146</f>
        <v>0</v>
      </c>
      <c r="M43" s="12"/>
      <c r="O43" s="116">
        <f>IF(AND(Q43&gt;0,O41&gt;=0),O41+1,0)</f>
        <v>0</v>
      </c>
      <c r="P43" s="78">
        <v>43101</v>
      </c>
      <c r="Q43" s="95"/>
      <c r="R43" s="80"/>
      <c r="S43" s="95"/>
      <c r="T43" s="80"/>
      <c r="U43" s="81"/>
      <c r="V43" s="86"/>
      <c r="W43" s="116">
        <f>IF(AND(Y43&gt;0,W41&gt;=0),W41+1,0)</f>
        <v>0</v>
      </c>
      <c r="X43" s="78">
        <v>43101</v>
      </c>
      <c r="Y43" s="104"/>
      <c r="Z43" s="105"/>
      <c r="AA43" s="104"/>
      <c r="AB43" s="105"/>
      <c r="AC43" s="110"/>
      <c r="AE43" s="116">
        <f>IF(AND(AG43&gt;0,AE41&gt;=0),AE41+1,0)</f>
        <v>0</v>
      </c>
      <c r="AF43" s="78">
        <v>43101</v>
      </c>
      <c r="AG43" s="3"/>
      <c r="AH43" s="5"/>
      <c r="AI43" s="68"/>
      <c r="AJ43" s="6"/>
      <c r="AK43" s="71"/>
      <c r="AM43" s="116">
        <f>IF(AND(AO43&gt;0,AM41&gt;=0),AM41+1,0)</f>
        <v>0</v>
      </c>
      <c r="AN43" s="78">
        <v>43101</v>
      </c>
      <c r="AO43" s="3"/>
      <c r="AP43" s="5"/>
      <c r="AQ43" s="68"/>
      <c r="AR43" s="6"/>
      <c r="AS43" s="71"/>
      <c r="AU43" s="116">
        <f>IF(AND(AW43&gt;0,AU41&gt;=0),AU41+1,0)</f>
        <v>0</v>
      </c>
      <c r="AV43" s="78">
        <v>43101</v>
      </c>
      <c r="AW43" s="3"/>
      <c r="AX43" s="5"/>
      <c r="AY43" s="68"/>
      <c r="AZ43" s="6"/>
      <c r="BA43" s="71"/>
      <c r="BC43" s="116">
        <f>IF(AND(BE43&gt;0,BC41&gt;=0),BC41+1,0)</f>
        <v>0</v>
      </c>
      <c r="BD43" s="78">
        <v>43101</v>
      </c>
      <c r="BE43" s="3"/>
      <c r="BF43" s="5"/>
      <c r="BG43" s="68"/>
      <c r="BH43" s="6"/>
      <c r="BI43" s="71"/>
      <c r="BK43" s="116">
        <f>IF(AND(BM43&gt;0,BK41&gt;=0),BK41+1,0)</f>
        <v>0</v>
      </c>
      <c r="BL43" s="78">
        <v>43101</v>
      </c>
      <c r="BM43" s="3"/>
      <c r="BN43" s="5"/>
      <c r="BO43" s="68"/>
      <c r="BP43" s="6"/>
      <c r="BQ43" s="71"/>
      <c r="BS43" s="116">
        <f>IF(AND(BU43&gt;0,BS41&gt;=0),BS41+1,0)</f>
        <v>0</v>
      </c>
      <c r="BT43" s="78">
        <v>43101</v>
      </c>
      <c r="BU43" s="3"/>
      <c r="BV43" s="5"/>
      <c r="BW43" s="68"/>
      <c r="BX43" s="6"/>
      <c r="BY43" s="71"/>
      <c r="CA43" s="116">
        <f>IF(AND(CC43&gt;0,CA41&gt;=0),CA41+1,0)</f>
        <v>0</v>
      </c>
      <c r="CB43" s="78">
        <v>43101</v>
      </c>
      <c r="CC43" s="3"/>
      <c r="CD43" s="5"/>
      <c r="CE43" s="68"/>
      <c r="CF43" s="6"/>
      <c r="CG43" s="71"/>
      <c r="CI43" s="116">
        <f>IF(AND(CK43&gt;0,CI41&gt;=0),CI41+1,0)</f>
        <v>0</v>
      </c>
      <c r="CJ43" s="78">
        <v>43101</v>
      </c>
      <c r="CK43" s="3"/>
      <c r="CL43" s="5"/>
      <c r="CM43" s="68"/>
      <c r="CN43" s="6"/>
      <c r="CO43" s="71"/>
      <c r="CQ43" s="116">
        <f>IF(AND(CS43&gt;0,CQ41&gt;=0),CQ41+1,0)</f>
        <v>0</v>
      </c>
      <c r="CR43" s="78">
        <v>43101</v>
      </c>
      <c r="CS43" s="3">
        <f>[6]IRR!AL36</f>
        <v>0</v>
      </c>
      <c r="CT43" s="5">
        <f>CS43/(1+'[6]Assets to be Leased'!$B$9)</f>
        <v>0</v>
      </c>
      <c r="CU43" s="68"/>
      <c r="CV43" s="6">
        <f>[6]IRR!AO36</f>
        <v>1487.852045264646</v>
      </c>
      <c r="CW43" s="71">
        <f>[6]IRR!AP36/(1+'[6]Assets to be Leased'!$B$9)</f>
        <v>143167.3738248818</v>
      </c>
      <c r="CZ43" s="155">
        <f>CZ30+1</f>
        <v>2017</v>
      </c>
      <c r="DA43" s="142">
        <f>IF(DO42&gt;=DA42,0,U42*(1+'[6]Assets to be Leased'!$B$9))</f>
        <v>0</v>
      </c>
      <c r="DB43" s="143">
        <f>IF(DO42&gt;=DB42,0,AC42*(1+'[6]Assets to be Leased'!$B$9))</f>
        <v>0</v>
      </c>
      <c r="DC43" s="143">
        <f>IF(DO42&gt;=DC42,0,AK42*(1+'[6]Assets to be Leased'!$B$9))</f>
        <v>0</v>
      </c>
      <c r="DD43" s="144">
        <f>IF(AS42="","",AS42*(1+'[6]Assets to be Leased'!$B$9))</f>
        <v>0</v>
      </c>
      <c r="DE43" s="144">
        <f>BA42*(1+'[6]Assets to be Leased'!$B$9)</f>
        <v>0</v>
      </c>
      <c r="DF43" s="144">
        <f>BI42*(1+'[6]Assets to be Leased'!$B$9)</f>
        <v>0</v>
      </c>
      <c r="DG43" s="144">
        <f>BQ42*(1+'[6]Assets to be Leased'!$B$9)</f>
        <v>0</v>
      </c>
      <c r="DH43" s="144">
        <f>BY42*(1+'[6]Assets to be Leased'!$B$9)</f>
        <v>0</v>
      </c>
      <c r="DI43" s="144">
        <f>CG42*(1+'[6]Assets to be Leased'!$B$9)</f>
        <v>0</v>
      </c>
      <c r="DJ43" s="144">
        <f>CO42*(1+'[6]Assets to be Leased'!$B$9)</f>
        <v>0</v>
      </c>
      <c r="DK43" s="176">
        <f>CW42*(1+'[6]Assets to be Leased'!$B$9)</f>
        <v>164586.30159159823</v>
      </c>
      <c r="DL43" s="176">
        <f t="shared" si="27"/>
        <v>164586.30159159823</v>
      </c>
      <c r="DM43" s="161">
        <f t="array" ref="DM43">IFERROR(SMALL(IF(DA43:DC43&gt;0,DA43:DC43),1),0)</f>
        <v>0</v>
      </c>
      <c r="DN43" s="155">
        <f>DN30+1</f>
        <v>2017</v>
      </c>
      <c r="DO43" s="169">
        <f>IF(DS42+DR43&gt;DM43,HLOOKUP(DM43,DA43:$DL$82,1,FALSE),0)</f>
        <v>0</v>
      </c>
      <c r="DP43" s="214"/>
      <c r="DQ43" s="204"/>
      <c r="DR43" s="68"/>
      <c r="DS43" s="215">
        <f>DS42</f>
        <v>90000</v>
      </c>
    </row>
    <row r="44" spans="1:133">
      <c r="A44" s="1784"/>
      <c r="B44" s="23" t="s">
        <v>63</v>
      </c>
      <c r="C44" s="8">
        <f>AI42</f>
        <v>0</v>
      </c>
      <c r="D44" s="8">
        <f>AI55</f>
        <v>0</v>
      </c>
      <c r="E44" s="8">
        <f>AI68</f>
        <v>0</v>
      </c>
      <c r="F44" s="8">
        <f>AI81</f>
        <v>0</v>
      </c>
      <c r="G44" s="8">
        <f>AI94</f>
        <v>0</v>
      </c>
      <c r="H44" s="8">
        <f>AI107</f>
        <v>0</v>
      </c>
      <c r="I44" s="8">
        <f>AI120</f>
        <v>0</v>
      </c>
      <c r="J44" s="8">
        <f>AI133</f>
        <v>0</v>
      </c>
      <c r="K44" s="8">
        <f>AI146</f>
        <v>0</v>
      </c>
      <c r="L44" s="62"/>
      <c r="M44" s="12"/>
      <c r="O44" s="116">
        <f t="shared" ref="O44:O54" si="52">IF(AND(Q44&gt;0,O43&gt;=0),O43+1,0)</f>
        <v>0</v>
      </c>
      <c r="P44" s="78">
        <v>43132</v>
      </c>
      <c r="Q44" s="95"/>
      <c r="R44" s="80"/>
      <c r="S44" s="95"/>
      <c r="T44" s="80"/>
      <c r="U44" s="80"/>
      <c r="V44" s="86"/>
      <c r="W44" s="116">
        <f t="shared" ref="W44:W54" si="53">IF(AND(Y44&gt;0,W43&gt;=0),W43+1,0)</f>
        <v>0</v>
      </c>
      <c r="X44" s="78">
        <v>43132</v>
      </c>
      <c r="Y44" s="104"/>
      <c r="Z44" s="105"/>
      <c r="AA44" s="104"/>
      <c r="AB44" s="105"/>
      <c r="AC44" s="110"/>
      <c r="AE44" s="116">
        <f t="shared" ref="AE44:AE54" si="54">IF(AND(AG44&gt;0,AE43&gt;=0),AE43+1,0)</f>
        <v>0</v>
      </c>
      <c r="AF44" s="78">
        <v>43132</v>
      </c>
      <c r="AG44" s="3"/>
      <c r="AH44" s="5"/>
      <c r="AI44" s="68"/>
      <c r="AJ44" s="6"/>
      <c r="AK44" s="71"/>
      <c r="AM44" s="116">
        <f t="shared" ref="AM44:AM54" si="55">IF(AND(AO44&gt;0,AM43&gt;=0),AM43+1,0)</f>
        <v>0</v>
      </c>
      <c r="AN44" s="78">
        <v>43132</v>
      </c>
      <c r="AO44" s="3"/>
      <c r="AP44" s="5"/>
      <c r="AQ44" s="68"/>
      <c r="AR44" s="6"/>
      <c r="AS44" s="71"/>
      <c r="AU44" s="116">
        <f t="shared" ref="AU44:AU54" si="56">IF(AND(AW44&gt;0,AU43&gt;=0),AU43+1,0)</f>
        <v>0</v>
      </c>
      <c r="AV44" s="78">
        <v>43132</v>
      </c>
      <c r="AW44" s="3"/>
      <c r="AX44" s="5"/>
      <c r="AY44" s="68"/>
      <c r="AZ44" s="6"/>
      <c r="BA44" s="71"/>
      <c r="BC44" s="116">
        <f t="shared" ref="BC44:BC54" si="57">IF(AND(BE44&gt;0,BC43&gt;=0),BC43+1,0)</f>
        <v>0</v>
      </c>
      <c r="BD44" s="78">
        <v>43132</v>
      </c>
      <c r="BE44" s="3"/>
      <c r="BF44" s="5"/>
      <c r="BG44" s="68"/>
      <c r="BH44" s="6"/>
      <c r="BI44" s="71"/>
      <c r="BK44" s="116">
        <f t="shared" ref="BK44:BK54" si="58">IF(AND(BM44&gt;0,BK43&gt;=0),BK43+1,0)</f>
        <v>0</v>
      </c>
      <c r="BL44" s="78">
        <v>43132</v>
      </c>
      <c r="BM44" s="3"/>
      <c r="BN44" s="5"/>
      <c r="BO44" s="68"/>
      <c r="BP44" s="6"/>
      <c r="BQ44" s="71"/>
      <c r="BS44" s="116">
        <f t="shared" ref="BS44:BS54" si="59">IF(AND(BU44&gt;0,BS43&gt;=0),BS43+1,0)</f>
        <v>0</v>
      </c>
      <c r="BT44" s="78">
        <v>43132</v>
      </c>
      <c r="BU44" s="3"/>
      <c r="BV44" s="5"/>
      <c r="BW44" s="68"/>
      <c r="BX44" s="6"/>
      <c r="BY44" s="71"/>
      <c r="CA44" s="116">
        <f t="shared" ref="CA44:CA54" si="60">IF(AND(CC44&gt;0,CA43&gt;=0),CA43+1,0)</f>
        <v>0</v>
      </c>
      <c r="CB44" s="78">
        <v>43132</v>
      </c>
      <c r="CC44" s="3"/>
      <c r="CD44" s="5"/>
      <c r="CE44" s="68"/>
      <c r="CF44" s="6"/>
      <c r="CG44" s="71"/>
      <c r="CI44" s="116">
        <f t="shared" ref="CI44:CI54" si="61">IF(AND(CK44&gt;0,CI43&gt;=0),CI43+1,0)</f>
        <v>0</v>
      </c>
      <c r="CJ44" s="78">
        <v>43132</v>
      </c>
      <c r="CK44" s="3"/>
      <c r="CL44" s="5"/>
      <c r="CM44" s="68"/>
      <c r="CN44" s="6"/>
      <c r="CO44" s="71"/>
      <c r="CQ44" s="116">
        <f t="shared" ref="CQ44:CQ54" si="62">IF(AND(CS44&gt;0,CQ43&gt;=0),CQ43+1,0)</f>
        <v>0</v>
      </c>
      <c r="CR44" s="78">
        <v>43132</v>
      </c>
      <c r="CS44" s="3">
        <f>[6]IRR!AL37</f>
        <v>0</v>
      </c>
      <c r="CT44" s="5">
        <f>CS44/(1+'[6]Assets to be Leased'!$B$9)</f>
        <v>0</v>
      </c>
      <c r="CU44" s="68"/>
      <c r="CV44" s="6">
        <f>[6]IRR!AO37</f>
        <v>1501.3021543392836</v>
      </c>
      <c r="CW44" s="71">
        <f>[6]IRR!AP37/(1+'[6]Assets to be Leased'!$B$9)</f>
        <v>144461.59982000189</v>
      </c>
      <c r="CZ44" s="78">
        <v>43101</v>
      </c>
      <c r="DA44" s="142">
        <f>IF(DO43&gt;=DA43,0,U43*(1+'[6]Assets to be Leased'!$B$9))</f>
        <v>0</v>
      </c>
      <c r="DB44" s="143">
        <f>IF(DO43&gt;=DB43,0,AC43*(1+'[6]Assets to be Leased'!$B$9))</f>
        <v>0</v>
      </c>
      <c r="DC44" s="143">
        <f>IF(DO43&gt;=DC43,0,AK43*(1+'[6]Assets to be Leased'!$B$9))</f>
        <v>0</v>
      </c>
      <c r="DD44" s="144" t="str">
        <f>IF(AS43="","",AS43*(1+'[6]Assets to be Leased'!$B$9))</f>
        <v/>
      </c>
      <c r="DE44" s="144">
        <f>BA43*(1+'[6]Assets to be Leased'!$B$9)</f>
        <v>0</v>
      </c>
      <c r="DF44" s="144">
        <f>BI43*(1+'[6]Assets to be Leased'!$B$9)</f>
        <v>0</v>
      </c>
      <c r="DG44" s="144">
        <f>BQ43*(1+'[6]Assets to be Leased'!$B$9)</f>
        <v>0</v>
      </c>
      <c r="DH44" s="144">
        <f>BY43*(1+'[6]Assets to be Leased'!$B$9)</f>
        <v>0</v>
      </c>
      <c r="DI44" s="144">
        <f>CG43*(1+'[6]Assets to be Leased'!$B$9)</f>
        <v>0</v>
      </c>
      <c r="DJ44" s="144">
        <f>CO43*(1+'[6]Assets to be Leased'!$B$9)</f>
        <v>0</v>
      </c>
      <c r="DK44" s="176">
        <f>CW43*(1+'[6]Assets to be Leased'!$B$9)</f>
        <v>166074.15363686287</v>
      </c>
      <c r="DL44" s="176">
        <f t="shared" si="27"/>
        <v>166074.15363686287</v>
      </c>
      <c r="DM44" s="161">
        <f t="array" ref="DM44">IFERROR(SMALL(IF(DA44:DC44&gt;0,DA44:DC44),1),0)</f>
        <v>0</v>
      </c>
      <c r="DN44" s="78">
        <v>43101</v>
      </c>
      <c r="DO44" s="169">
        <f>IF(DS43+DR44&gt;DM44,HLOOKUP(DM44,DA44:$DL$82,1,FALSE),0)</f>
        <v>0</v>
      </c>
      <c r="DP44" s="213"/>
      <c r="DQ44" s="213"/>
      <c r="DR44" s="213"/>
      <c r="DS44" s="216"/>
    </row>
    <row r="45" spans="1:133">
      <c r="A45" s="1785"/>
      <c r="B45" s="64" t="s">
        <v>64</v>
      </c>
      <c r="C45" s="61">
        <f>IF(AK29-C44&lt;0,0,AK29-C44)</f>
        <v>0</v>
      </c>
      <c r="D45" s="61">
        <f>IF(AK42-D44&lt;0,0,AK42-D44)</f>
        <v>0</v>
      </c>
      <c r="E45" s="61">
        <f>IF(AK55-E44&lt;0,0,AK55-E44)</f>
        <v>0</v>
      </c>
      <c r="F45" s="61">
        <f>IF(AK68-F44&lt;0,0,AK68-F44)</f>
        <v>0</v>
      </c>
      <c r="G45" s="61">
        <f>IF(AK81-G44&lt;0,0,AK81-G44)</f>
        <v>0</v>
      </c>
      <c r="H45" s="61">
        <f>IF(AK94-H44&lt;0,0,AK94-H44)</f>
        <v>0</v>
      </c>
      <c r="I45" s="61">
        <f>IF(AK107-I44&lt;0,0,AK107-I44)</f>
        <v>0</v>
      </c>
      <c r="J45" s="61">
        <f>IF(AK120-J44&lt;0,0,AK120-J44)</f>
        <v>0</v>
      </c>
      <c r="K45" s="61">
        <f>IF(AK133-K44&lt;0,0,AK133-K44)</f>
        <v>0</v>
      </c>
      <c r="L45" s="65">
        <f>IF(AK146-L44&lt;0,0,AK146-L44)</f>
        <v>0</v>
      </c>
      <c r="M45" s="12"/>
      <c r="O45" s="116">
        <f t="shared" si="52"/>
        <v>0</v>
      </c>
      <c r="P45" s="78">
        <v>43160</v>
      </c>
      <c r="Q45" s="95"/>
      <c r="R45" s="80"/>
      <c r="S45" s="95"/>
      <c r="T45" s="80"/>
      <c r="U45" s="80"/>
      <c r="V45" s="86"/>
      <c r="W45" s="116">
        <f t="shared" si="53"/>
        <v>0</v>
      </c>
      <c r="X45" s="78">
        <v>43160</v>
      </c>
      <c r="Y45" s="104"/>
      <c r="Z45" s="105"/>
      <c r="AA45" s="104"/>
      <c r="AB45" s="105"/>
      <c r="AC45" s="110"/>
      <c r="AE45" s="116">
        <f t="shared" si="54"/>
        <v>0</v>
      </c>
      <c r="AF45" s="78">
        <v>43160</v>
      </c>
      <c r="AG45" s="3"/>
      <c r="AH45" s="5"/>
      <c r="AI45" s="68"/>
      <c r="AJ45" s="6"/>
      <c r="AK45" s="71"/>
      <c r="AM45" s="116">
        <f t="shared" si="55"/>
        <v>0</v>
      </c>
      <c r="AN45" s="78">
        <v>43160</v>
      </c>
      <c r="AO45" s="3"/>
      <c r="AP45" s="5"/>
      <c r="AQ45" s="68"/>
      <c r="AR45" s="6"/>
      <c r="AS45" s="71"/>
      <c r="AU45" s="116">
        <f t="shared" si="56"/>
        <v>0</v>
      </c>
      <c r="AV45" s="78">
        <v>43160</v>
      </c>
      <c r="AW45" s="3"/>
      <c r="AX45" s="5"/>
      <c r="AY45" s="68"/>
      <c r="AZ45" s="6"/>
      <c r="BA45" s="71"/>
      <c r="BC45" s="116">
        <f t="shared" si="57"/>
        <v>0</v>
      </c>
      <c r="BD45" s="78">
        <v>43160</v>
      </c>
      <c r="BE45" s="3"/>
      <c r="BF45" s="5"/>
      <c r="BG45" s="68"/>
      <c r="BH45" s="6"/>
      <c r="BI45" s="71"/>
      <c r="BK45" s="116">
        <f t="shared" si="58"/>
        <v>0</v>
      </c>
      <c r="BL45" s="78">
        <v>43160</v>
      </c>
      <c r="BM45" s="3"/>
      <c r="BN45" s="5"/>
      <c r="BO45" s="68"/>
      <c r="BP45" s="6"/>
      <c r="BQ45" s="71"/>
      <c r="BS45" s="116">
        <f t="shared" si="59"/>
        <v>0</v>
      </c>
      <c r="BT45" s="78">
        <v>43160</v>
      </c>
      <c r="BU45" s="3"/>
      <c r="BV45" s="5"/>
      <c r="BW45" s="68"/>
      <c r="BX45" s="6"/>
      <c r="BY45" s="71"/>
      <c r="CA45" s="116">
        <f t="shared" si="60"/>
        <v>0</v>
      </c>
      <c r="CB45" s="78">
        <v>43160</v>
      </c>
      <c r="CC45" s="3"/>
      <c r="CD45" s="5"/>
      <c r="CE45" s="68"/>
      <c r="CF45" s="6"/>
      <c r="CG45" s="71"/>
      <c r="CI45" s="116">
        <f t="shared" si="61"/>
        <v>0</v>
      </c>
      <c r="CJ45" s="78">
        <v>43160</v>
      </c>
      <c r="CK45" s="3"/>
      <c r="CL45" s="5"/>
      <c r="CM45" s="68"/>
      <c r="CN45" s="6"/>
      <c r="CO45" s="71"/>
      <c r="CQ45" s="116">
        <f t="shared" si="62"/>
        <v>1</v>
      </c>
      <c r="CR45" s="78">
        <v>43160</v>
      </c>
      <c r="CS45" s="3">
        <f>[6]IRR!AL38</f>
        <v>7119.7567446554722</v>
      </c>
      <c r="CT45" s="5">
        <f>CS45/(1+'[6]Assets to be Leased'!$B$9)</f>
        <v>6137.721331599545</v>
      </c>
      <c r="CU45" s="68"/>
      <c r="CV45" s="6">
        <f>[6]IRR!AO38</f>
        <v>1514.873851736292</v>
      </c>
      <c r="CW45" s="71">
        <f>[6]IRR!AP38/(1+'[6]Assets to be Leased'!$B$9)</f>
        <v>139629.80422265775</v>
      </c>
      <c r="CZ45" s="78">
        <v>43132</v>
      </c>
      <c r="DA45" s="142">
        <f>IF(DO44&gt;=DA44,0,U44*(1+'[6]Assets to be Leased'!$B$9))</f>
        <v>0</v>
      </c>
      <c r="DB45" s="143">
        <f>IF(DO44&gt;=DB44,0,AC44*(1+'[6]Assets to be Leased'!$B$9))</f>
        <v>0</v>
      </c>
      <c r="DC45" s="143">
        <f>IF(DO44&gt;=DC44,0,AK44*(1+'[6]Assets to be Leased'!$B$9))</f>
        <v>0</v>
      </c>
      <c r="DD45" s="144" t="str">
        <f>IF(AS44="","",AS44*(1+'[6]Assets to be Leased'!$B$9))</f>
        <v/>
      </c>
      <c r="DE45" s="144">
        <f>BA44*(1+'[6]Assets to be Leased'!$B$9)</f>
        <v>0</v>
      </c>
      <c r="DF45" s="144">
        <f>BI44*(1+'[6]Assets to be Leased'!$B$9)</f>
        <v>0</v>
      </c>
      <c r="DG45" s="144">
        <f>BQ44*(1+'[6]Assets to be Leased'!$B$9)</f>
        <v>0</v>
      </c>
      <c r="DH45" s="144">
        <f>BY44*(1+'[6]Assets to be Leased'!$B$9)</f>
        <v>0</v>
      </c>
      <c r="DI45" s="144">
        <f>CG44*(1+'[6]Assets to be Leased'!$B$9)</f>
        <v>0</v>
      </c>
      <c r="DJ45" s="144">
        <f>CO44*(1+'[6]Assets to be Leased'!$B$9)</f>
        <v>0</v>
      </c>
      <c r="DK45" s="176">
        <f>CW44*(1+'[6]Assets to be Leased'!$B$9)</f>
        <v>167575.4557912022</v>
      </c>
      <c r="DL45" s="176">
        <f t="shared" si="27"/>
        <v>167575.4557912022</v>
      </c>
      <c r="DM45" s="161">
        <f t="array" ref="DM45">IFERROR(SMALL(IF(DA45:DC45&gt;0,DA45:DC45),1),0)</f>
        <v>0</v>
      </c>
      <c r="DN45" s="78">
        <v>43132</v>
      </c>
      <c r="DO45" s="169">
        <f>IF(DS44+DR45&gt;DM45,HLOOKUP(DM45,DA45:$DL$82,1,FALSE),0)</f>
        <v>0</v>
      </c>
      <c r="DP45" s="213"/>
      <c r="DQ45" s="213"/>
      <c r="DR45" s="213"/>
      <c r="DS45" s="216"/>
    </row>
    <row r="46" spans="1:133">
      <c r="A46" s="1783">
        <f>B7</f>
        <v>0</v>
      </c>
      <c r="B46" s="122" t="s">
        <v>67</v>
      </c>
      <c r="C46" s="11">
        <f>AO29</f>
        <v>0</v>
      </c>
      <c r="D46" s="11">
        <f>$AO42</f>
        <v>0</v>
      </c>
      <c r="E46" s="11">
        <f>$AO55</f>
        <v>0</v>
      </c>
      <c r="F46" s="11">
        <f>$AO68</f>
        <v>0</v>
      </c>
      <c r="G46" s="11">
        <f>$AO81</f>
        <v>0</v>
      </c>
      <c r="H46" s="11">
        <f>$AO94</f>
        <v>0</v>
      </c>
      <c r="I46" s="11">
        <f>$AO107</f>
        <v>0</v>
      </c>
      <c r="J46" s="11">
        <f>$AO120</f>
        <v>0</v>
      </c>
      <c r="K46" s="11">
        <f>$AO133</f>
        <v>0</v>
      </c>
      <c r="L46" s="74">
        <f>$AO146</f>
        <v>0</v>
      </c>
      <c r="M46" s="12"/>
      <c r="O46" s="116">
        <f t="shared" si="52"/>
        <v>0</v>
      </c>
      <c r="P46" s="78">
        <v>43191</v>
      </c>
      <c r="Q46" s="95"/>
      <c r="R46" s="80"/>
      <c r="S46" s="95"/>
      <c r="T46" s="80"/>
      <c r="U46" s="80"/>
      <c r="V46" s="86"/>
      <c r="W46" s="116">
        <f t="shared" si="53"/>
        <v>0</v>
      </c>
      <c r="X46" s="78">
        <v>43191</v>
      </c>
      <c r="Y46" s="104"/>
      <c r="Z46" s="105"/>
      <c r="AA46" s="104"/>
      <c r="AB46" s="105"/>
      <c r="AC46" s="110"/>
      <c r="AE46" s="116">
        <f t="shared" si="54"/>
        <v>0</v>
      </c>
      <c r="AF46" s="78">
        <v>43191</v>
      </c>
      <c r="AG46" s="3"/>
      <c r="AH46" s="5"/>
      <c r="AI46" s="68"/>
      <c r="AJ46" s="6"/>
      <c r="AK46" s="71"/>
      <c r="AM46" s="116">
        <f t="shared" si="55"/>
        <v>0</v>
      </c>
      <c r="AN46" s="78">
        <v>43191</v>
      </c>
      <c r="AO46" s="3"/>
      <c r="AP46" s="5"/>
      <c r="AQ46" s="68"/>
      <c r="AR46" s="6"/>
      <c r="AS46" s="71"/>
      <c r="AU46" s="116">
        <f t="shared" si="56"/>
        <v>0</v>
      </c>
      <c r="AV46" s="78">
        <v>43191</v>
      </c>
      <c r="AW46" s="3"/>
      <c r="AX46" s="5"/>
      <c r="AY46" s="68"/>
      <c r="AZ46" s="6"/>
      <c r="BA46" s="71"/>
      <c r="BC46" s="116">
        <f t="shared" si="57"/>
        <v>0</v>
      </c>
      <c r="BD46" s="78">
        <v>43191</v>
      </c>
      <c r="BE46" s="3"/>
      <c r="BF46" s="5"/>
      <c r="BG46" s="68"/>
      <c r="BH46" s="6"/>
      <c r="BI46" s="71"/>
      <c r="BK46" s="116">
        <f t="shared" si="58"/>
        <v>0</v>
      </c>
      <c r="BL46" s="78">
        <v>43191</v>
      </c>
      <c r="BM46" s="3"/>
      <c r="BN46" s="5"/>
      <c r="BO46" s="68"/>
      <c r="BP46" s="6"/>
      <c r="BQ46" s="71"/>
      <c r="BS46" s="116">
        <f t="shared" si="59"/>
        <v>0</v>
      </c>
      <c r="BT46" s="78">
        <v>43191</v>
      </c>
      <c r="BU46" s="3"/>
      <c r="BV46" s="5"/>
      <c r="BW46" s="68"/>
      <c r="BX46" s="6"/>
      <c r="BY46" s="71"/>
      <c r="CA46" s="116">
        <f t="shared" si="60"/>
        <v>0</v>
      </c>
      <c r="CB46" s="78">
        <v>43191</v>
      </c>
      <c r="CC46" s="3"/>
      <c r="CD46" s="5"/>
      <c r="CE46" s="68"/>
      <c r="CF46" s="6"/>
      <c r="CG46" s="71"/>
      <c r="CI46" s="116">
        <f t="shared" si="61"/>
        <v>0</v>
      </c>
      <c r="CJ46" s="78">
        <v>43191</v>
      </c>
      <c r="CK46" s="3"/>
      <c r="CL46" s="5"/>
      <c r="CM46" s="68"/>
      <c r="CN46" s="6"/>
      <c r="CO46" s="71"/>
      <c r="CQ46" s="116">
        <f t="shared" si="62"/>
        <v>2</v>
      </c>
      <c r="CR46" s="78">
        <v>43191</v>
      </c>
      <c r="CS46" s="3">
        <f>[6]IRR!AL39</f>
        <v>7119.7567446554722</v>
      </c>
      <c r="CT46" s="5">
        <f>CS46/(1+'[6]Assets to be Leased'!$B$9)</f>
        <v>6137.721331599545</v>
      </c>
      <c r="CU46" s="68"/>
      <c r="CV46" s="6">
        <f>[6]IRR!AO39</f>
        <v>1464.2059869440479</v>
      </c>
      <c r="CW46" s="71">
        <f>[6]IRR!AP39/(1+'[6]Assets to be Leased'!$B$9)</f>
        <v>134754.32943152721</v>
      </c>
      <c r="CZ46" s="78">
        <v>43160</v>
      </c>
      <c r="DA46" s="142">
        <f>IF(DO45&gt;=DA45,0,U45*(1+'[6]Assets to be Leased'!$B$9))</f>
        <v>0</v>
      </c>
      <c r="DB46" s="143">
        <f>IF(DO45&gt;=DB45,0,AC45*(1+'[6]Assets to be Leased'!$B$9))</f>
        <v>0</v>
      </c>
      <c r="DC46" s="143">
        <f>IF(DO45&gt;=DC45,0,AK45*(1+'[6]Assets to be Leased'!$B$9))</f>
        <v>0</v>
      </c>
      <c r="DD46" s="144" t="str">
        <f>IF(AS45="","",AS45*(1+'[6]Assets to be Leased'!$B$9))</f>
        <v/>
      </c>
      <c r="DE46" s="144">
        <f>BA45*(1+'[6]Assets to be Leased'!$B$9)</f>
        <v>0</v>
      </c>
      <c r="DF46" s="144">
        <f>BI45*(1+'[6]Assets to be Leased'!$B$9)</f>
        <v>0</v>
      </c>
      <c r="DG46" s="144">
        <f>BQ45*(1+'[6]Assets to be Leased'!$B$9)</f>
        <v>0</v>
      </c>
      <c r="DH46" s="144">
        <f>BY45*(1+'[6]Assets to be Leased'!$B$9)</f>
        <v>0</v>
      </c>
      <c r="DI46" s="144">
        <f>CG45*(1+'[6]Assets to be Leased'!$B$9)</f>
        <v>0</v>
      </c>
      <c r="DJ46" s="144">
        <f>CO45*(1+'[6]Assets to be Leased'!$B$9)</f>
        <v>0</v>
      </c>
      <c r="DK46" s="176">
        <f>CW45*(1+'[6]Assets to be Leased'!$B$9)</f>
        <v>161970.57289828299</v>
      </c>
      <c r="DL46" s="176">
        <f t="shared" si="27"/>
        <v>161970.57289828299</v>
      </c>
      <c r="DM46" s="161">
        <f t="array" ref="DM46">IFERROR(SMALL(IF(DA46:DC46&gt;0,DA46:DC46),1),0)</f>
        <v>0</v>
      </c>
      <c r="DN46" s="78">
        <v>43160</v>
      </c>
      <c r="DO46" s="169">
        <f>IF(DS45+DR46&gt;DM46,HLOOKUP(DM46,DA46:$DL$82,1,FALSE),0)</f>
        <v>0</v>
      </c>
      <c r="DP46" s="213"/>
      <c r="DQ46" s="213"/>
      <c r="DR46" s="213"/>
      <c r="DS46" s="216"/>
    </row>
    <row r="47" spans="1:133">
      <c r="A47" s="1784"/>
      <c r="B47" s="23" t="s">
        <v>69</v>
      </c>
      <c r="C47" s="9">
        <f>$AP29</f>
        <v>0</v>
      </c>
      <c r="D47" s="9">
        <f>$AP42</f>
        <v>0</v>
      </c>
      <c r="E47" s="9">
        <f>$AP55</f>
        <v>0</v>
      </c>
      <c r="F47" s="9">
        <f>$AP68</f>
        <v>0</v>
      </c>
      <c r="G47" s="9">
        <f>$AP81</f>
        <v>0</v>
      </c>
      <c r="H47" s="9">
        <f>$AP94</f>
        <v>0</v>
      </c>
      <c r="I47" s="9">
        <f>$AP107</f>
        <v>0</v>
      </c>
      <c r="J47" s="9">
        <f>$AP120</f>
        <v>0</v>
      </c>
      <c r="K47" s="9">
        <f>$AP133</f>
        <v>0</v>
      </c>
      <c r="L47" s="22">
        <f>$AP146</f>
        <v>0</v>
      </c>
      <c r="M47" s="12"/>
      <c r="O47" s="116">
        <f t="shared" si="52"/>
        <v>0</v>
      </c>
      <c r="P47" s="78">
        <v>43221</v>
      </c>
      <c r="Q47" s="95"/>
      <c r="R47" s="80"/>
      <c r="S47" s="95"/>
      <c r="T47" s="80"/>
      <c r="U47" s="80"/>
      <c r="V47" s="86"/>
      <c r="W47" s="116">
        <f t="shared" si="53"/>
        <v>0</v>
      </c>
      <c r="X47" s="78">
        <v>43221</v>
      </c>
      <c r="Y47" s="104"/>
      <c r="Z47" s="105"/>
      <c r="AA47" s="104"/>
      <c r="AB47" s="105"/>
      <c r="AC47" s="110"/>
      <c r="AE47" s="116">
        <f t="shared" si="54"/>
        <v>0</v>
      </c>
      <c r="AF47" s="78">
        <v>43221</v>
      </c>
      <c r="AG47" s="3"/>
      <c r="AH47" s="5"/>
      <c r="AI47" s="68"/>
      <c r="AJ47" s="6"/>
      <c r="AK47" s="71"/>
      <c r="AM47" s="116">
        <f t="shared" si="55"/>
        <v>0</v>
      </c>
      <c r="AN47" s="78">
        <v>43221</v>
      </c>
      <c r="AO47" s="3"/>
      <c r="AP47" s="5"/>
      <c r="AQ47" s="68"/>
      <c r="AR47" s="6"/>
      <c r="AS47" s="71"/>
      <c r="AU47" s="116">
        <f t="shared" si="56"/>
        <v>0</v>
      </c>
      <c r="AV47" s="78">
        <v>43221</v>
      </c>
      <c r="AW47" s="3"/>
      <c r="AX47" s="5"/>
      <c r="AY47" s="68"/>
      <c r="AZ47" s="6"/>
      <c r="BA47" s="71"/>
      <c r="BC47" s="116">
        <f t="shared" si="57"/>
        <v>0</v>
      </c>
      <c r="BD47" s="78">
        <v>43221</v>
      </c>
      <c r="BE47" s="3"/>
      <c r="BF47" s="5"/>
      <c r="BG47" s="68"/>
      <c r="BH47" s="6"/>
      <c r="BI47" s="71"/>
      <c r="BK47" s="116">
        <f t="shared" si="58"/>
        <v>0</v>
      </c>
      <c r="BL47" s="78">
        <v>43221</v>
      </c>
      <c r="BM47" s="3"/>
      <c r="BN47" s="5"/>
      <c r="BO47" s="68"/>
      <c r="BP47" s="6"/>
      <c r="BQ47" s="71"/>
      <c r="BS47" s="116">
        <f t="shared" si="59"/>
        <v>0</v>
      </c>
      <c r="BT47" s="78">
        <v>43221</v>
      </c>
      <c r="BU47" s="3"/>
      <c r="BV47" s="5"/>
      <c r="BW47" s="68"/>
      <c r="BX47" s="6"/>
      <c r="BY47" s="71"/>
      <c r="CA47" s="116">
        <f t="shared" si="60"/>
        <v>0</v>
      </c>
      <c r="CB47" s="78">
        <v>43221</v>
      </c>
      <c r="CC47" s="3"/>
      <c r="CD47" s="5"/>
      <c r="CE47" s="68"/>
      <c r="CF47" s="6"/>
      <c r="CG47" s="71"/>
      <c r="CI47" s="116">
        <f t="shared" si="61"/>
        <v>0</v>
      </c>
      <c r="CJ47" s="78">
        <v>43221</v>
      </c>
      <c r="CK47" s="3"/>
      <c r="CL47" s="5"/>
      <c r="CM47" s="68"/>
      <c r="CN47" s="6"/>
      <c r="CO47" s="71"/>
      <c r="CQ47" s="116">
        <f t="shared" si="62"/>
        <v>3</v>
      </c>
      <c r="CR47" s="78">
        <v>43221</v>
      </c>
      <c r="CS47" s="3">
        <f>[6]IRR!AL40</f>
        <v>7119.7567446554722</v>
      </c>
      <c r="CT47" s="5">
        <f>CS47/(1+'[6]Assets to be Leased'!$B$9)</f>
        <v>6137.721331599545</v>
      </c>
      <c r="CU47" s="68"/>
      <c r="CV47" s="6">
        <f>[6]IRR!AO40</f>
        <v>1413.080087154168</v>
      </c>
      <c r="CW47" s="71">
        <f>[6]IRR!AP40/(1+'[6]Assets to be Leased'!$B$9)</f>
        <v>129834.78058885367</v>
      </c>
      <c r="CZ47" s="78">
        <v>43191</v>
      </c>
      <c r="DA47" s="142">
        <f>IF(DO46&gt;=DA46,0,U46*(1+'[6]Assets to be Leased'!$B$9))</f>
        <v>0</v>
      </c>
      <c r="DB47" s="143">
        <f>IF(DO46&gt;=DB46,0,AC46*(1+'[6]Assets to be Leased'!$B$9))</f>
        <v>0</v>
      </c>
      <c r="DC47" s="143">
        <f>IF(DO46&gt;=DC46,0,AK46*(1+'[6]Assets to be Leased'!$B$9))</f>
        <v>0</v>
      </c>
      <c r="DD47" s="144" t="str">
        <f>IF(AS46="","",AS46*(1+'[6]Assets to be Leased'!$B$9))</f>
        <v/>
      </c>
      <c r="DE47" s="144">
        <f>BA46*(1+'[6]Assets to be Leased'!$B$9)</f>
        <v>0</v>
      </c>
      <c r="DF47" s="144">
        <f>BI46*(1+'[6]Assets to be Leased'!$B$9)</f>
        <v>0</v>
      </c>
      <c r="DG47" s="144">
        <f>BQ46*(1+'[6]Assets to be Leased'!$B$9)</f>
        <v>0</v>
      </c>
      <c r="DH47" s="144">
        <f>BY46*(1+'[6]Assets to be Leased'!$B$9)</f>
        <v>0</v>
      </c>
      <c r="DI47" s="144">
        <f>CG46*(1+'[6]Assets to be Leased'!$B$9)</f>
        <v>0</v>
      </c>
      <c r="DJ47" s="144">
        <f>CO46*(1+'[6]Assets to be Leased'!$B$9)</f>
        <v>0</v>
      </c>
      <c r="DK47" s="176">
        <f>CW46*(1+'[6]Assets to be Leased'!$B$9)</f>
        <v>156315.02214057156</v>
      </c>
      <c r="DL47" s="176">
        <f t="shared" si="27"/>
        <v>156315.02214057156</v>
      </c>
      <c r="DM47" s="161">
        <f t="array" ref="DM47">IFERROR(SMALL(IF(DA47:DC47&gt;0,DA47:DC47),1),0)</f>
        <v>0</v>
      </c>
      <c r="DN47" s="78">
        <v>43191</v>
      </c>
      <c r="DO47" s="169">
        <f>IF(DS46+DR47&gt;DM47,HLOOKUP(DM47,DA47:$DL$82,1,FALSE),0)</f>
        <v>0</v>
      </c>
      <c r="DP47" s="213"/>
      <c r="DQ47" s="213"/>
      <c r="DR47" s="213"/>
      <c r="DS47" s="216"/>
    </row>
    <row r="48" spans="1:133">
      <c r="A48" s="1784"/>
      <c r="B48" s="23" t="s">
        <v>68</v>
      </c>
      <c r="C48" s="9">
        <f>C46-C47</f>
        <v>0</v>
      </c>
      <c r="D48" s="9">
        <f>D46-D47</f>
        <v>0</v>
      </c>
      <c r="E48" s="9">
        <f>E46-E47</f>
        <v>0</v>
      </c>
      <c r="F48" s="9">
        <f t="shared" ref="F48:L48" si="63">F46-F47</f>
        <v>0</v>
      </c>
      <c r="G48" s="9">
        <f t="shared" si="63"/>
        <v>0</v>
      </c>
      <c r="H48" s="9">
        <f t="shared" si="63"/>
        <v>0</v>
      </c>
      <c r="I48" s="9">
        <f t="shared" si="63"/>
        <v>0</v>
      </c>
      <c r="J48" s="9">
        <f t="shared" si="63"/>
        <v>0</v>
      </c>
      <c r="K48" s="9">
        <f t="shared" si="63"/>
        <v>0</v>
      </c>
      <c r="L48" s="22">
        <f t="shared" si="63"/>
        <v>0</v>
      </c>
      <c r="M48" s="12"/>
      <c r="O48" s="116">
        <f t="shared" si="52"/>
        <v>0</v>
      </c>
      <c r="P48" s="78">
        <v>43252</v>
      </c>
      <c r="Q48" s="95"/>
      <c r="R48" s="80"/>
      <c r="S48" s="95"/>
      <c r="T48" s="80"/>
      <c r="U48" s="80"/>
      <c r="V48" s="86"/>
      <c r="W48" s="116">
        <f t="shared" si="53"/>
        <v>0</v>
      </c>
      <c r="X48" s="78">
        <v>43252</v>
      </c>
      <c r="Y48" s="104"/>
      <c r="Z48" s="105"/>
      <c r="AA48" s="104"/>
      <c r="AB48" s="105"/>
      <c r="AC48" s="110"/>
      <c r="AE48" s="116">
        <f t="shared" si="54"/>
        <v>0</v>
      </c>
      <c r="AF48" s="78">
        <v>43252</v>
      </c>
      <c r="AG48" s="3"/>
      <c r="AH48" s="5"/>
      <c r="AI48" s="68"/>
      <c r="AJ48" s="6"/>
      <c r="AK48" s="71"/>
      <c r="AM48" s="116">
        <f t="shared" si="55"/>
        <v>0</v>
      </c>
      <c r="AN48" s="78">
        <v>43252</v>
      </c>
      <c r="AO48" s="3"/>
      <c r="AP48" s="5"/>
      <c r="AQ48" s="68"/>
      <c r="AR48" s="6"/>
      <c r="AS48" s="71"/>
      <c r="AU48" s="116">
        <f t="shared" si="56"/>
        <v>0</v>
      </c>
      <c r="AV48" s="78">
        <v>43252</v>
      </c>
      <c r="AW48" s="3"/>
      <c r="AX48" s="5"/>
      <c r="AY48" s="68"/>
      <c r="AZ48" s="6"/>
      <c r="BA48" s="71"/>
      <c r="BC48" s="116">
        <f t="shared" si="57"/>
        <v>0</v>
      </c>
      <c r="BD48" s="78">
        <v>43252</v>
      </c>
      <c r="BE48" s="3"/>
      <c r="BF48" s="5"/>
      <c r="BG48" s="68"/>
      <c r="BH48" s="6"/>
      <c r="BI48" s="71"/>
      <c r="BK48" s="116">
        <f t="shared" si="58"/>
        <v>0</v>
      </c>
      <c r="BL48" s="78">
        <v>43252</v>
      </c>
      <c r="BM48" s="3"/>
      <c r="BN48" s="5"/>
      <c r="BO48" s="68"/>
      <c r="BP48" s="6"/>
      <c r="BQ48" s="71"/>
      <c r="BS48" s="116">
        <f t="shared" si="59"/>
        <v>0</v>
      </c>
      <c r="BT48" s="78">
        <v>43252</v>
      </c>
      <c r="BU48" s="3"/>
      <c r="BV48" s="5"/>
      <c r="BW48" s="68"/>
      <c r="BX48" s="6"/>
      <c r="BY48" s="71"/>
      <c r="CA48" s="116">
        <f t="shared" si="60"/>
        <v>0</v>
      </c>
      <c r="CB48" s="78">
        <v>43252</v>
      </c>
      <c r="CC48" s="3"/>
      <c r="CD48" s="5"/>
      <c r="CE48" s="68"/>
      <c r="CF48" s="6"/>
      <c r="CG48" s="71"/>
      <c r="CI48" s="116">
        <f t="shared" si="61"/>
        <v>0</v>
      </c>
      <c r="CJ48" s="78">
        <v>43252</v>
      </c>
      <c r="CK48" s="3"/>
      <c r="CL48" s="5"/>
      <c r="CM48" s="68"/>
      <c r="CN48" s="6"/>
      <c r="CO48" s="71"/>
      <c r="CQ48" s="116">
        <f t="shared" si="62"/>
        <v>4</v>
      </c>
      <c r="CR48" s="78">
        <v>43252</v>
      </c>
      <c r="CS48" s="3">
        <f>[6]IRR!AL41</f>
        <v>7119.7567446554722</v>
      </c>
      <c r="CT48" s="5">
        <f>CS48/(1+'[6]Assets to be Leased'!$B$9)</f>
        <v>6137.721331599545</v>
      </c>
      <c r="CU48" s="68"/>
      <c r="CV48" s="6">
        <f>[6]IRR!AO41</f>
        <v>1361.492011752875</v>
      </c>
      <c r="CW48" s="71">
        <f>[6]IRR!AP41/(1+'[6]Assets to be Leased'!$B$9)</f>
        <v>124870.7592673859</v>
      </c>
      <c r="CZ48" s="78">
        <v>43221</v>
      </c>
      <c r="DA48" s="142">
        <f>IF(DO47&gt;=DA47,0,U47*(1+'[6]Assets to be Leased'!$B$9))</f>
        <v>0</v>
      </c>
      <c r="DB48" s="143">
        <f>IF(DO47&gt;=DB47,0,AC47*(1+'[6]Assets to be Leased'!$B$9))</f>
        <v>0</v>
      </c>
      <c r="DC48" s="143">
        <f>IF(DO47&gt;=DC47,0,AK47*(1+'[6]Assets to be Leased'!$B$9))</f>
        <v>0</v>
      </c>
      <c r="DD48" s="144" t="str">
        <f>IF(AS47="","",AS47*(1+'[6]Assets to be Leased'!$B$9))</f>
        <v/>
      </c>
      <c r="DE48" s="144">
        <f>BA47*(1+'[6]Assets to be Leased'!$B$9)</f>
        <v>0</v>
      </c>
      <c r="DF48" s="144">
        <f>BI47*(1+'[6]Assets to be Leased'!$B$9)</f>
        <v>0</v>
      </c>
      <c r="DG48" s="144">
        <f>BQ47*(1+'[6]Assets to be Leased'!$B$9)</f>
        <v>0</v>
      </c>
      <c r="DH48" s="144">
        <f>BY47*(1+'[6]Assets to be Leased'!$B$9)</f>
        <v>0</v>
      </c>
      <c r="DI48" s="144">
        <f>CG47*(1+'[6]Assets to be Leased'!$B$9)</f>
        <v>0</v>
      </c>
      <c r="DJ48" s="144">
        <f>CO47*(1+'[6]Assets to be Leased'!$B$9)</f>
        <v>0</v>
      </c>
      <c r="DK48" s="176">
        <f>CW47*(1+'[6]Assets to be Leased'!$B$9)</f>
        <v>150608.34548307024</v>
      </c>
      <c r="DL48" s="176">
        <f t="shared" si="27"/>
        <v>150608.34548307024</v>
      </c>
      <c r="DM48" s="161">
        <f t="array" ref="DM48">IFERROR(SMALL(IF(DA48:DC48&gt;0,DA48:DC48),1),0)</f>
        <v>0</v>
      </c>
      <c r="DN48" s="78">
        <v>43221</v>
      </c>
      <c r="DO48" s="169">
        <f>IF(DS47+DR48&gt;DM48,HLOOKUP(DM48,DA48:$DL$82,1,FALSE),0)</f>
        <v>0</v>
      </c>
      <c r="DP48" s="213"/>
      <c r="DQ48" s="213"/>
      <c r="DR48" s="213"/>
      <c r="DS48" s="216"/>
    </row>
    <row r="49" spans="1:123">
      <c r="A49" s="1784"/>
      <c r="B49" s="23" t="s">
        <v>54</v>
      </c>
      <c r="C49" s="63">
        <f>$AR29</f>
        <v>0</v>
      </c>
      <c r="D49" s="8">
        <f>$AR42</f>
        <v>0</v>
      </c>
      <c r="E49" s="8">
        <f>$AR55</f>
        <v>0</v>
      </c>
      <c r="F49" s="8">
        <f>$AR68</f>
        <v>0</v>
      </c>
      <c r="G49" s="8">
        <f>$AR81</f>
        <v>0</v>
      </c>
      <c r="H49" s="8">
        <f>$AR94</f>
        <v>0</v>
      </c>
      <c r="I49" s="8">
        <f>$AR107</f>
        <v>0</v>
      </c>
      <c r="J49" s="8">
        <f>$AR120</f>
        <v>0</v>
      </c>
      <c r="K49" s="8">
        <f>$AR133</f>
        <v>0</v>
      </c>
      <c r="L49" s="62">
        <f>$AR146</f>
        <v>0</v>
      </c>
      <c r="M49" s="12"/>
      <c r="O49" s="116">
        <f t="shared" si="52"/>
        <v>0</v>
      </c>
      <c r="P49" s="78">
        <v>43282</v>
      </c>
      <c r="Q49" s="95"/>
      <c r="R49" s="80"/>
      <c r="S49" s="95"/>
      <c r="T49" s="80"/>
      <c r="U49" s="80"/>
      <c r="V49" s="86"/>
      <c r="W49" s="116">
        <f t="shared" si="53"/>
        <v>0</v>
      </c>
      <c r="X49" s="78">
        <v>43282</v>
      </c>
      <c r="Y49" s="104"/>
      <c r="Z49" s="105"/>
      <c r="AA49" s="104"/>
      <c r="AB49" s="105"/>
      <c r="AC49" s="110"/>
      <c r="AE49" s="116">
        <f t="shared" si="54"/>
        <v>0</v>
      </c>
      <c r="AF49" s="78">
        <v>43282</v>
      </c>
      <c r="AG49" s="3"/>
      <c r="AH49" s="5"/>
      <c r="AI49" s="68"/>
      <c r="AJ49" s="6"/>
      <c r="AK49" s="71"/>
      <c r="AM49" s="116">
        <f t="shared" si="55"/>
        <v>0</v>
      </c>
      <c r="AN49" s="78">
        <v>43282</v>
      </c>
      <c r="AO49" s="3"/>
      <c r="AP49" s="5"/>
      <c r="AQ49" s="68"/>
      <c r="AR49" s="6"/>
      <c r="AS49" s="71"/>
      <c r="AU49" s="116">
        <f t="shared" si="56"/>
        <v>0</v>
      </c>
      <c r="AV49" s="78">
        <v>43282</v>
      </c>
      <c r="AW49" s="3"/>
      <c r="AX49" s="5"/>
      <c r="AY49" s="68"/>
      <c r="AZ49" s="6"/>
      <c r="BA49" s="71"/>
      <c r="BC49" s="116">
        <f t="shared" si="57"/>
        <v>0</v>
      </c>
      <c r="BD49" s="78">
        <v>43282</v>
      </c>
      <c r="BE49" s="3"/>
      <c r="BF49" s="5"/>
      <c r="BG49" s="68"/>
      <c r="BH49" s="6"/>
      <c r="BI49" s="71"/>
      <c r="BK49" s="116">
        <f t="shared" si="58"/>
        <v>0</v>
      </c>
      <c r="BL49" s="78">
        <v>43282</v>
      </c>
      <c r="BM49" s="3"/>
      <c r="BN49" s="5"/>
      <c r="BO49" s="68"/>
      <c r="BP49" s="6"/>
      <c r="BQ49" s="71"/>
      <c r="BS49" s="116">
        <f t="shared" si="59"/>
        <v>0</v>
      </c>
      <c r="BT49" s="78">
        <v>43282</v>
      </c>
      <c r="BU49" s="3"/>
      <c r="BV49" s="5"/>
      <c r="BW49" s="68"/>
      <c r="BX49" s="6"/>
      <c r="BY49" s="71"/>
      <c r="CA49" s="116">
        <f t="shared" si="60"/>
        <v>0</v>
      </c>
      <c r="CB49" s="78">
        <v>43282</v>
      </c>
      <c r="CC49" s="3"/>
      <c r="CD49" s="5"/>
      <c r="CE49" s="68"/>
      <c r="CF49" s="6"/>
      <c r="CG49" s="71"/>
      <c r="CI49" s="116">
        <f t="shared" si="61"/>
        <v>0</v>
      </c>
      <c r="CJ49" s="78">
        <v>43282</v>
      </c>
      <c r="CK49" s="3"/>
      <c r="CL49" s="5"/>
      <c r="CM49" s="68"/>
      <c r="CN49" s="6"/>
      <c r="CO49" s="71"/>
      <c r="CQ49" s="116">
        <f t="shared" si="62"/>
        <v>5</v>
      </c>
      <c r="CR49" s="78">
        <v>43282</v>
      </c>
      <c r="CS49" s="3">
        <f>[6]IRR!AL42</f>
        <v>7119.7567446554722</v>
      </c>
      <c r="CT49" s="5">
        <f>CS49/(1+'[6]Assets to be Leased'!$B$9)</f>
        <v>6137.721331599545</v>
      </c>
      <c r="CU49" s="68"/>
      <c r="CV49" s="6">
        <f>[6]IRR!AO42</f>
        <v>1309.4375826954463</v>
      </c>
      <c r="CW49" s="71">
        <f>[6]IRR!AP42/(1+'[6]Assets to be Leased'!$B$9)</f>
        <v>119861.86343811003</v>
      </c>
      <c r="CZ49" s="78">
        <v>43252</v>
      </c>
      <c r="DA49" s="142">
        <f>IF(DO48&gt;=DA48,0,U48*(1+'[6]Assets to be Leased'!$B$9))</f>
        <v>0</v>
      </c>
      <c r="DB49" s="143">
        <f>IF(DO48&gt;=DB48,0,AC48*(1+'[6]Assets to be Leased'!$B$9))</f>
        <v>0</v>
      </c>
      <c r="DC49" s="143">
        <f>IF(DO48&gt;=DC48,0,AK48*(1+'[6]Assets to be Leased'!$B$9))</f>
        <v>0</v>
      </c>
      <c r="DD49" s="144" t="str">
        <f>IF(AS48="","",AS48*(1+'[6]Assets to be Leased'!$B$9))</f>
        <v/>
      </c>
      <c r="DE49" s="144">
        <f>BA48*(1+'[6]Assets to be Leased'!$B$9)</f>
        <v>0</v>
      </c>
      <c r="DF49" s="144">
        <f>BI48*(1+'[6]Assets to be Leased'!$B$9)</f>
        <v>0</v>
      </c>
      <c r="DG49" s="144">
        <f>BQ48*(1+'[6]Assets to be Leased'!$B$9)</f>
        <v>0</v>
      </c>
      <c r="DH49" s="144">
        <f>BY48*(1+'[6]Assets to be Leased'!$B$9)</f>
        <v>0</v>
      </c>
      <c r="DI49" s="144">
        <f>CG48*(1+'[6]Assets to be Leased'!$B$9)</f>
        <v>0</v>
      </c>
      <c r="DJ49" s="144">
        <f>CO48*(1+'[6]Assets to be Leased'!$B$9)</f>
        <v>0</v>
      </c>
      <c r="DK49" s="176">
        <f>CW48*(1+'[6]Assets to be Leased'!$B$9)</f>
        <v>144850.08075016763</v>
      </c>
      <c r="DL49" s="176">
        <f t="shared" si="27"/>
        <v>144850.08075016763</v>
      </c>
      <c r="DM49" s="161">
        <f t="array" ref="DM49">IFERROR(SMALL(IF(DA49:DC49&gt;0,DA49:DC49),1),0)</f>
        <v>0</v>
      </c>
      <c r="DN49" s="78">
        <v>43252</v>
      </c>
      <c r="DO49" s="169">
        <f>IF(DS48+DR49&gt;DM49,HLOOKUP(DM49,DA49:$DL$82,1,FALSE),0)</f>
        <v>0</v>
      </c>
      <c r="DP49" s="213"/>
      <c r="DQ49" s="213"/>
      <c r="DR49" s="213"/>
      <c r="DS49" s="216"/>
    </row>
    <row r="50" spans="1:123">
      <c r="A50" s="1784"/>
      <c r="B50" s="23" t="s">
        <v>63</v>
      </c>
      <c r="C50" s="8">
        <f>$AQ42</f>
        <v>0</v>
      </c>
      <c r="D50" s="8">
        <f>$AQ55</f>
        <v>0</v>
      </c>
      <c r="E50" s="8">
        <f>$AQ68</f>
        <v>0</v>
      </c>
      <c r="F50" s="8">
        <f>$AQ81</f>
        <v>0</v>
      </c>
      <c r="G50" s="8">
        <f>$AQ94</f>
        <v>0</v>
      </c>
      <c r="H50" s="8">
        <f>$AQ107</f>
        <v>0</v>
      </c>
      <c r="I50" s="8">
        <f>$AQ120</f>
        <v>0</v>
      </c>
      <c r="J50" s="8">
        <f>$AQ133</f>
        <v>0</v>
      </c>
      <c r="K50" s="8">
        <f>$AQ146</f>
        <v>0</v>
      </c>
      <c r="L50" s="62"/>
      <c r="M50" s="12"/>
      <c r="O50" s="116">
        <f t="shared" si="52"/>
        <v>0</v>
      </c>
      <c r="P50" s="78">
        <v>43313</v>
      </c>
      <c r="Q50" s="95"/>
      <c r="R50" s="80"/>
      <c r="S50" s="95"/>
      <c r="T50" s="80"/>
      <c r="U50" s="80"/>
      <c r="V50" s="86"/>
      <c r="W50" s="116">
        <f t="shared" si="53"/>
        <v>0</v>
      </c>
      <c r="X50" s="78">
        <v>43313</v>
      </c>
      <c r="Y50" s="104"/>
      <c r="Z50" s="105"/>
      <c r="AA50" s="104"/>
      <c r="AB50" s="105"/>
      <c r="AC50" s="110"/>
      <c r="AE50" s="116">
        <f t="shared" si="54"/>
        <v>0</v>
      </c>
      <c r="AF50" s="78">
        <v>43313</v>
      </c>
      <c r="AG50" s="3"/>
      <c r="AH50" s="5"/>
      <c r="AI50" s="68"/>
      <c r="AJ50" s="6"/>
      <c r="AK50" s="71"/>
      <c r="AM50" s="116">
        <f t="shared" si="55"/>
        <v>0</v>
      </c>
      <c r="AN50" s="78">
        <v>43313</v>
      </c>
      <c r="AO50" s="3"/>
      <c r="AP50" s="5"/>
      <c r="AQ50" s="68"/>
      <c r="AR50" s="6"/>
      <c r="AS50" s="71"/>
      <c r="AU50" s="116">
        <f t="shared" si="56"/>
        <v>0</v>
      </c>
      <c r="AV50" s="78">
        <v>43313</v>
      </c>
      <c r="AW50" s="3"/>
      <c r="AX50" s="5"/>
      <c r="AY50" s="68"/>
      <c r="AZ50" s="6"/>
      <c r="BA50" s="71"/>
      <c r="BC50" s="116">
        <f t="shared" si="57"/>
        <v>0</v>
      </c>
      <c r="BD50" s="78">
        <v>43313</v>
      </c>
      <c r="BE50" s="3"/>
      <c r="BF50" s="5"/>
      <c r="BG50" s="68"/>
      <c r="BH50" s="6"/>
      <c r="BI50" s="71"/>
      <c r="BK50" s="116">
        <f t="shared" si="58"/>
        <v>0</v>
      </c>
      <c r="BL50" s="78">
        <v>43313</v>
      </c>
      <c r="BM50" s="3"/>
      <c r="BN50" s="5"/>
      <c r="BO50" s="68"/>
      <c r="BP50" s="6"/>
      <c r="BQ50" s="71"/>
      <c r="BS50" s="116">
        <f t="shared" si="59"/>
        <v>0</v>
      </c>
      <c r="BT50" s="78">
        <v>43313</v>
      </c>
      <c r="BU50" s="3"/>
      <c r="BV50" s="5"/>
      <c r="BW50" s="68"/>
      <c r="BX50" s="6"/>
      <c r="BY50" s="71"/>
      <c r="CA50" s="116">
        <f t="shared" si="60"/>
        <v>0</v>
      </c>
      <c r="CB50" s="78">
        <v>43313</v>
      </c>
      <c r="CC50" s="3"/>
      <c r="CD50" s="5"/>
      <c r="CE50" s="68"/>
      <c r="CF50" s="6"/>
      <c r="CG50" s="71"/>
      <c r="CI50" s="116">
        <f t="shared" si="61"/>
        <v>0</v>
      </c>
      <c r="CJ50" s="78">
        <v>43313</v>
      </c>
      <c r="CK50" s="3"/>
      <c r="CL50" s="5"/>
      <c r="CM50" s="68"/>
      <c r="CN50" s="6"/>
      <c r="CO50" s="71"/>
      <c r="CQ50" s="116">
        <f t="shared" si="62"/>
        <v>6</v>
      </c>
      <c r="CR50" s="78">
        <v>43313</v>
      </c>
      <c r="CS50" s="3">
        <f>[6]IRR!AL43</f>
        <v>7119.7567446554722</v>
      </c>
      <c r="CT50" s="5">
        <f>CS50/(1+'[6]Assets to be Leased'!$B$9)</f>
        <v>6137.721331599545</v>
      </c>
      <c r="CU50" s="68"/>
      <c r="CV50" s="6">
        <f>[6]IRR!AO43</f>
        <v>1256.9125841678417</v>
      </c>
      <c r="CW50" s="71">
        <f>[6]IRR!AP43/(1+'[6]Assets to be Leased'!$B$9)</f>
        <v>114807.68743768964</v>
      </c>
      <c r="CZ50" s="78">
        <v>43282</v>
      </c>
      <c r="DA50" s="142">
        <f>IF(DO49&gt;=DA49,0,U49*(1+'[6]Assets to be Leased'!$B$9))</f>
        <v>0</v>
      </c>
      <c r="DB50" s="143">
        <f>IF(DO49&gt;=DB49,0,AC49*(1+'[6]Assets to be Leased'!$B$9))</f>
        <v>0</v>
      </c>
      <c r="DC50" s="143">
        <f>IF(DO49&gt;=DC49,0,AK49*(1+'[6]Assets to be Leased'!$B$9))</f>
        <v>0</v>
      </c>
      <c r="DD50" s="144" t="str">
        <f>IF(AS49="","",AS49*(1+'[6]Assets to be Leased'!$B$9))</f>
        <v/>
      </c>
      <c r="DE50" s="144">
        <f>BA49*(1+'[6]Assets to be Leased'!$B$9)</f>
        <v>0</v>
      </c>
      <c r="DF50" s="144">
        <f>BI49*(1+'[6]Assets to be Leased'!$B$9)</f>
        <v>0</v>
      </c>
      <c r="DG50" s="144">
        <f>BQ49*(1+'[6]Assets to be Leased'!$B$9)</f>
        <v>0</v>
      </c>
      <c r="DH50" s="144">
        <f>BY49*(1+'[6]Assets to be Leased'!$B$9)</f>
        <v>0</v>
      </c>
      <c r="DI50" s="144">
        <f>CG49*(1+'[6]Assets to be Leased'!$B$9)</f>
        <v>0</v>
      </c>
      <c r="DJ50" s="144">
        <f>CO49*(1+'[6]Assets to be Leased'!$B$9)</f>
        <v>0</v>
      </c>
      <c r="DK50" s="176">
        <f>CW49*(1+'[6]Assets to be Leased'!$B$9)</f>
        <v>139039.76158820762</v>
      </c>
      <c r="DL50" s="176">
        <f t="shared" si="27"/>
        <v>139039.76158820762</v>
      </c>
      <c r="DM50" s="161">
        <f t="array" ref="DM50">IFERROR(SMALL(IF(DA50:DC50&gt;0,DA50:DC50),1),0)</f>
        <v>0</v>
      </c>
      <c r="DN50" s="78">
        <v>43282</v>
      </c>
      <c r="DO50" s="169">
        <f>IF(DS49+DR50&gt;DM50,HLOOKUP(DM50,DA50:$DL$82,1,FALSE),0)</f>
        <v>0</v>
      </c>
      <c r="DP50" s="213"/>
      <c r="DQ50" s="213"/>
      <c r="DR50" s="213"/>
      <c r="DS50" s="216"/>
    </row>
    <row r="51" spans="1:123">
      <c r="A51" s="1785"/>
      <c r="B51" s="64" t="s">
        <v>64</v>
      </c>
      <c r="C51" s="61">
        <f>IF(AS29-C50&lt;0,0,AS29-C50)</f>
        <v>0</v>
      </c>
      <c r="D51" s="61">
        <f>IF(AS42-D50&lt;0,0,AS42-D50)</f>
        <v>0</v>
      </c>
      <c r="E51" s="61">
        <f>IF(AS55-E50&lt;0,0,AS55-E50)</f>
        <v>0</v>
      </c>
      <c r="F51" s="61">
        <f>IF(AS68-F50&lt;0,0,AS68-F50)</f>
        <v>0</v>
      </c>
      <c r="G51" s="61">
        <f>IF(AS81-G50&lt;0,0,AS81-G50)</f>
        <v>0</v>
      </c>
      <c r="H51" s="61">
        <f>IF(AS94-H50&lt;0,0,AS94-H50)</f>
        <v>0</v>
      </c>
      <c r="I51" s="61">
        <f>IF(AS107-I50&lt;0,0,AS107-I50)</f>
        <v>0</v>
      </c>
      <c r="J51" s="61">
        <f>IF(AS120-J50&lt;0,0,AS120-J50)</f>
        <v>0</v>
      </c>
      <c r="K51" s="61">
        <f>IF(AS133-K50&lt;0,0,AS133-K50)</f>
        <v>0</v>
      </c>
      <c r="L51" s="65">
        <f>IF(AS146-L50&lt;0,0,AS146-L50)</f>
        <v>0</v>
      </c>
      <c r="M51" s="12"/>
      <c r="O51" s="116">
        <f t="shared" si="52"/>
        <v>0</v>
      </c>
      <c r="P51" s="78">
        <v>43344</v>
      </c>
      <c r="Q51" s="95"/>
      <c r="R51" s="80"/>
      <c r="S51" s="95"/>
      <c r="T51" s="80"/>
      <c r="U51" s="80"/>
      <c r="V51" s="86"/>
      <c r="W51" s="116">
        <f t="shared" si="53"/>
        <v>0</v>
      </c>
      <c r="X51" s="78">
        <v>43344</v>
      </c>
      <c r="Y51" s="104"/>
      <c r="Z51" s="105"/>
      <c r="AA51" s="104"/>
      <c r="AB51" s="105"/>
      <c r="AC51" s="110"/>
      <c r="AE51" s="116">
        <f t="shared" si="54"/>
        <v>0</v>
      </c>
      <c r="AF51" s="78">
        <v>43344</v>
      </c>
      <c r="AG51" s="3"/>
      <c r="AH51" s="5"/>
      <c r="AI51" s="68"/>
      <c r="AJ51" s="6"/>
      <c r="AK51" s="71"/>
      <c r="AM51" s="116">
        <f t="shared" si="55"/>
        <v>0</v>
      </c>
      <c r="AN51" s="78">
        <v>43344</v>
      </c>
      <c r="AO51" s="3"/>
      <c r="AP51" s="5"/>
      <c r="AQ51" s="68"/>
      <c r="AR51" s="6"/>
      <c r="AS51" s="71"/>
      <c r="AU51" s="116">
        <f t="shared" si="56"/>
        <v>0</v>
      </c>
      <c r="AV51" s="78">
        <v>43344</v>
      </c>
      <c r="AW51" s="3"/>
      <c r="AX51" s="5"/>
      <c r="AY51" s="68"/>
      <c r="AZ51" s="6"/>
      <c r="BA51" s="71"/>
      <c r="BC51" s="116">
        <f t="shared" si="57"/>
        <v>0</v>
      </c>
      <c r="BD51" s="78">
        <v>43344</v>
      </c>
      <c r="BE51" s="3"/>
      <c r="BF51" s="5"/>
      <c r="BG51" s="68"/>
      <c r="BH51" s="6"/>
      <c r="BI51" s="71"/>
      <c r="BK51" s="116">
        <f t="shared" si="58"/>
        <v>0</v>
      </c>
      <c r="BL51" s="78">
        <v>43344</v>
      </c>
      <c r="BM51" s="3"/>
      <c r="BN51" s="5"/>
      <c r="BO51" s="68"/>
      <c r="BP51" s="6"/>
      <c r="BQ51" s="71"/>
      <c r="BS51" s="116">
        <f t="shared" si="59"/>
        <v>0</v>
      </c>
      <c r="BT51" s="78">
        <v>43344</v>
      </c>
      <c r="BU51" s="3"/>
      <c r="BV51" s="5"/>
      <c r="BW51" s="68"/>
      <c r="BX51" s="6"/>
      <c r="BY51" s="71"/>
      <c r="CA51" s="116">
        <f t="shared" si="60"/>
        <v>0</v>
      </c>
      <c r="CB51" s="78">
        <v>43344</v>
      </c>
      <c r="CC51" s="3"/>
      <c r="CD51" s="5"/>
      <c r="CE51" s="68"/>
      <c r="CF51" s="6"/>
      <c r="CG51" s="71"/>
      <c r="CI51" s="116">
        <f t="shared" si="61"/>
        <v>0</v>
      </c>
      <c r="CJ51" s="78">
        <v>43344</v>
      </c>
      <c r="CK51" s="3"/>
      <c r="CL51" s="5"/>
      <c r="CM51" s="68"/>
      <c r="CN51" s="6"/>
      <c r="CO51" s="71"/>
      <c r="CQ51" s="116">
        <f t="shared" si="62"/>
        <v>7</v>
      </c>
      <c r="CR51" s="78">
        <v>43344</v>
      </c>
      <c r="CS51" s="3">
        <f>[6]IRR!AL44</f>
        <v>7119.7567446554722</v>
      </c>
      <c r="CT51" s="5">
        <f>CS51/(1+'[6]Assets to be Leased'!$B$9)</f>
        <v>6137.721331599545</v>
      </c>
      <c r="CU51" s="68"/>
      <c r="CV51" s="6">
        <f>[6]IRR!AO44</f>
        <v>1203.9127622452697</v>
      </c>
      <c r="CW51" s="71">
        <f>[6]IRR!AP44/(1+'[6]Assets to be Leased'!$B$9)</f>
        <v>109707.82193561188</v>
      </c>
      <c r="CZ51" s="78">
        <v>43313</v>
      </c>
      <c r="DA51" s="142">
        <f>IF(DO50&gt;=DA50,0,U50*(1+'[6]Assets to be Leased'!$B$9))</f>
        <v>0</v>
      </c>
      <c r="DB51" s="143">
        <f>IF(DO50&gt;=DB50,0,AC50*(1+'[6]Assets to be Leased'!$B$9))</f>
        <v>0</v>
      </c>
      <c r="DC51" s="143">
        <f>IF(DO50&gt;=DC50,0,AK50*(1+'[6]Assets to be Leased'!$B$9))</f>
        <v>0</v>
      </c>
      <c r="DD51" s="144" t="str">
        <f>IF(AS50="","",AS50*(1+'[6]Assets to be Leased'!$B$9))</f>
        <v/>
      </c>
      <c r="DE51" s="144">
        <f>BA50*(1+'[6]Assets to be Leased'!$B$9)</f>
        <v>0</v>
      </c>
      <c r="DF51" s="144">
        <f>BI50*(1+'[6]Assets to be Leased'!$B$9)</f>
        <v>0</v>
      </c>
      <c r="DG51" s="144">
        <f>BQ50*(1+'[6]Assets to be Leased'!$B$9)</f>
        <v>0</v>
      </c>
      <c r="DH51" s="144">
        <f>BY50*(1+'[6]Assets to be Leased'!$B$9)</f>
        <v>0</v>
      </c>
      <c r="DI51" s="144">
        <f>CG50*(1+'[6]Assets to be Leased'!$B$9)</f>
        <v>0</v>
      </c>
      <c r="DJ51" s="144">
        <f>CO50*(1+'[6]Assets to be Leased'!$B$9)</f>
        <v>0</v>
      </c>
      <c r="DK51" s="176">
        <f>CW50*(1+'[6]Assets to be Leased'!$B$9)</f>
        <v>133176.91742771998</v>
      </c>
      <c r="DL51" s="176">
        <f t="shared" si="27"/>
        <v>133176.91742771998</v>
      </c>
      <c r="DM51" s="161">
        <f t="array" ref="DM51">IFERROR(SMALL(IF(DA51:DC51&gt;0,DA51:DC51),1),0)</f>
        <v>0</v>
      </c>
      <c r="DN51" s="78">
        <v>43313</v>
      </c>
      <c r="DO51" s="169">
        <f>IF(DS50+DR51&gt;DM51,HLOOKUP(DM51,DA51:$DL$82,1,FALSE),0)</f>
        <v>0</v>
      </c>
      <c r="DP51" s="213"/>
      <c r="DQ51" s="213"/>
      <c r="DR51" s="213"/>
      <c r="DS51" s="216"/>
    </row>
    <row r="52" spans="1:123">
      <c r="A52" s="1783">
        <f>B8</f>
        <v>0</v>
      </c>
      <c r="B52" s="122" t="s">
        <v>67</v>
      </c>
      <c r="C52" s="11">
        <f>$AW29</f>
        <v>0</v>
      </c>
      <c r="D52" s="11">
        <f>$AW42</f>
        <v>0</v>
      </c>
      <c r="E52" s="11">
        <f>$AW55</f>
        <v>0</v>
      </c>
      <c r="F52" s="11">
        <f>$AW68</f>
        <v>0</v>
      </c>
      <c r="G52" s="11">
        <f>$AW81</f>
        <v>0</v>
      </c>
      <c r="H52" s="11">
        <f>$AW94</f>
        <v>0</v>
      </c>
      <c r="I52" s="11">
        <f>$AW107</f>
        <v>0</v>
      </c>
      <c r="J52" s="11">
        <f>$AW120</f>
        <v>0</v>
      </c>
      <c r="K52" s="11">
        <f>$AW133</f>
        <v>0</v>
      </c>
      <c r="L52" s="74">
        <f>$AW146</f>
        <v>0</v>
      </c>
      <c r="M52" s="12"/>
      <c r="O52" s="116">
        <f t="shared" si="52"/>
        <v>0</v>
      </c>
      <c r="P52" s="78">
        <v>43374</v>
      </c>
      <c r="Q52" s="95"/>
      <c r="R52" s="80"/>
      <c r="S52" s="95"/>
      <c r="T52" s="80"/>
      <c r="U52" s="80"/>
      <c r="V52" s="86"/>
      <c r="W52" s="116">
        <f t="shared" si="53"/>
        <v>0</v>
      </c>
      <c r="X52" s="78">
        <v>43374</v>
      </c>
      <c r="Y52" s="104"/>
      <c r="Z52" s="105"/>
      <c r="AA52" s="104"/>
      <c r="AB52" s="105"/>
      <c r="AC52" s="111"/>
      <c r="AE52" s="116">
        <f t="shared" si="54"/>
        <v>0</v>
      </c>
      <c r="AF52" s="78">
        <v>43374</v>
      </c>
      <c r="AG52" s="3"/>
      <c r="AH52" s="5"/>
      <c r="AI52" s="68"/>
      <c r="AJ52" s="6"/>
      <c r="AK52" s="72"/>
      <c r="AM52" s="116">
        <f t="shared" si="55"/>
        <v>0</v>
      </c>
      <c r="AN52" s="78">
        <v>43374</v>
      </c>
      <c r="AO52" s="3"/>
      <c r="AP52" s="5"/>
      <c r="AQ52" s="68"/>
      <c r="AR52" s="6"/>
      <c r="AS52" s="72"/>
      <c r="AU52" s="116">
        <f t="shared" si="56"/>
        <v>0</v>
      </c>
      <c r="AV52" s="78">
        <v>43374</v>
      </c>
      <c r="AW52" s="3"/>
      <c r="AX52" s="5"/>
      <c r="AY52" s="68"/>
      <c r="AZ52" s="6"/>
      <c r="BA52" s="72"/>
      <c r="BC52" s="116">
        <f t="shared" si="57"/>
        <v>0</v>
      </c>
      <c r="BD52" s="78">
        <v>43374</v>
      </c>
      <c r="BE52" s="3"/>
      <c r="BF52" s="5"/>
      <c r="BG52" s="68"/>
      <c r="BH52" s="6"/>
      <c r="BI52" s="72"/>
      <c r="BK52" s="116">
        <f t="shared" si="58"/>
        <v>0</v>
      </c>
      <c r="BL52" s="78">
        <v>43374</v>
      </c>
      <c r="BM52" s="3"/>
      <c r="BN52" s="5"/>
      <c r="BO52" s="68"/>
      <c r="BP52" s="6"/>
      <c r="BQ52" s="72"/>
      <c r="BS52" s="116">
        <f t="shared" si="59"/>
        <v>0</v>
      </c>
      <c r="BT52" s="78">
        <v>43374</v>
      </c>
      <c r="BU52" s="3"/>
      <c r="BV52" s="5"/>
      <c r="BW52" s="68"/>
      <c r="BX52" s="6"/>
      <c r="BY52" s="72"/>
      <c r="CA52" s="116">
        <f t="shared" si="60"/>
        <v>0</v>
      </c>
      <c r="CB52" s="78">
        <v>43374</v>
      </c>
      <c r="CC52" s="3"/>
      <c r="CD52" s="5"/>
      <c r="CE52" s="68"/>
      <c r="CF52" s="6"/>
      <c r="CG52" s="72"/>
      <c r="CI52" s="116">
        <f t="shared" si="61"/>
        <v>0</v>
      </c>
      <c r="CJ52" s="78">
        <v>43374</v>
      </c>
      <c r="CK52" s="3"/>
      <c r="CL52" s="5"/>
      <c r="CM52" s="68"/>
      <c r="CN52" s="6"/>
      <c r="CO52" s="72"/>
      <c r="CQ52" s="116">
        <f t="shared" si="62"/>
        <v>8</v>
      </c>
      <c r="CR52" s="78">
        <v>43374</v>
      </c>
      <c r="CS52" s="3">
        <f>[6]IRR!AL45</f>
        <v>7119.7567446554722</v>
      </c>
      <c r="CT52" s="5">
        <f>CS52/(1+'[6]Assets to be Leased'!$B$9)</f>
        <v>6137.721331599545</v>
      </c>
      <c r="CU52" s="68"/>
      <c r="CV52" s="6">
        <f>[6]IRR!AO45</f>
        <v>1150.433824547669</v>
      </c>
      <c r="CW52" s="71">
        <f>[6]IRR!AP45/(1+'[6]Assets to be Leased'!$B$9)</f>
        <v>104561.85390103619</v>
      </c>
      <c r="CZ52" s="78">
        <v>43344</v>
      </c>
      <c r="DA52" s="142">
        <f>IF(DO51&gt;=DA51,0,U51*(1+'[6]Assets to be Leased'!$B$9))</f>
        <v>0</v>
      </c>
      <c r="DB52" s="143">
        <f>IF(DO51&gt;=DB51,0,AC51*(1+'[6]Assets to be Leased'!$B$9))</f>
        <v>0</v>
      </c>
      <c r="DC52" s="143">
        <f>IF(DO51&gt;=DC51,0,AK51*(1+'[6]Assets to be Leased'!$B$9))</f>
        <v>0</v>
      </c>
      <c r="DD52" s="144" t="str">
        <f>IF(AS51="","",AS51*(1+'[6]Assets to be Leased'!$B$9))</f>
        <v/>
      </c>
      <c r="DE52" s="144">
        <f>BA51*(1+'[6]Assets to be Leased'!$B$9)</f>
        <v>0</v>
      </c>
      <c r="DF52" s="144">
        <f>BI51*(1+'[6]Assets to be Leased'!$B$9)</f>
        <v>0</v>
      </c>
      <c r="DG52" s="144">
        <f>BQ51*(1+'[6]Assets to be Leased'!$B$9)</f>
        <v>0</v>
      </c>
      <c r="DH52" s="144">
        <f>BY51*(1+'[6]Assets to be Leased'!$B$9)</f>
        <v>0</v>
      </c>
      <c r="DI52" s="144">
        <f>CG51*(1+'[6]Assets to be Leased'!$B$9)</f>
        <v>0</v>
      </c>
      <c r="DJ52" s="144">
        <f>CO51*(1+'[6]Assets to be Leased'!$B$9)</f>
        <v>0</v>
      </c>
      <c r="DK52" s="176">
        <f>CW51*(1+'[6]Assets to be Leased'!$B$9)</f>
        <v>127261.07344530977</v>
      </c>
      <c r="DL52" s="176">
        <f t="shared" si="27"/>
        <v>127261.07344530977</v>
      </c>
      <c r="DM52" s="161">
        <f t="array" ref="DM52">IFERROR(SMALL(IF(DA52:DC52&gt;0,DA52:DC52),1),0)</f>
        <v>0</v>
      </c>
      <c r="DN52" s="78">
        <v>43344</v>
      </c>
      <c r="DO52" s="169">
        <f>IF(DS51+DR52&gt;DM52,HLOOKUP(DM52,DA52:$DL$82,1,FALSE),0)</f>
        <v>0</v>
      </c>
      <c r="DP52" s="213"/>
      <c r="DQ52" s="213"/>
      <c r="DR52" s="213"/>
      <c r="DS52" s="216"/>
    </row>
    <row r="53" spans="1:123">
      <c r="A53" s="1784"/>
      <c r="B53" s="23" t="s">
        <v>69</v>
      </c>
      <c r="C53" s="9">
        <f>$AX29</f>
        <v>0</v>
      </c>
      <c r="D53" s="9">
        <f>$AX42</f>
        <v>0</v>
      </c>
      <c r="E53" s="9">
        <f>$AX55</f>
        <v>0</v>
      </c>
      <c r="F53" s="9">
        <f>$AX68</f>
        <v>0</v>
      </c>
      <c r="G53" s="9">
        <f>$AX81</f>
        <v>0</v>
      </c>
      <c r="H53" s="9">
        <f>$AX94</f>
        <v>0</v>
      </c>
      <c r="I53" s="9">
        <f>$AX107</f>
        <v>0</v>
      </c>
      <c r="J53" s="9">
        <f>$AX120</f>
        <v>0</v>
      </c>
      <c r="K53" s="9">
        <f>$AX133</f>
        <v>0</v>
      </c>
      <c r="L53" s="22">
        <f>$AX146</f>
        <v>0</v>
      </c>
      <c r="M53" s="12"/>
      <c r="O53" s="116">
        <f t="shared" si="52"/>
        <v>0</v>
      </c>
      <c r="P53" s="78">
        <v>43405</v>
      </c>
      <c r="Q53" s="95"/>
      <c r="R53" s="80"/>
      <c r="S53" s="95"/>
      <c r="T53" s="80"/>
      <c r="U53" s="80"/>
      <c r="V53" s="86"/>
      <c r="W53" s="116">
        <f t="shared" si="53"/>
        <v>0</v>
      </c>
      <c r="X53" s="78">
        <v>43405</v>
      </c>
      <c r="Y53" s="104"/>
      <c r="Z53" s="105"/>
      <c r="AA53" s="104"/>
      <c r="AB53" s="105"/>
      <c r="AC53" s="110"/>
      <c r="AE53" s="116">
        <f t="shared" si="54"/>
        <v>0</v>
      </c>
      <c r="AF53" s="78">
        <v>43405</v>
      </c>
      <c r="AG53" s="3"/>
      <c r="AH53" s="5"/>
      <c r="AI53" s="68"/>
      <c r="AJ53" s="6"/>
      <c r="AK53" s="71"/>
      <c r="AM53" s="116">
        <f t="shared" si="55"/>
        <v>0</v>
      </c>
      <c r="AN53" s="78">
        <v>43405</v>
      </c>
      <c r="AO53" s="3"/>
      <c r="AP53" s="5"/>
      <c r="AQ53" s="68"/>
      <c r="AR53" s="6"/>
      <c r="AS53" s="71"/>
      <c r="AU53" s="116">
        <f t="shared" si="56"/>
        <v>0</v>
      </c>
      <c r="AV53" s="78">
        <v>43405</v>
      </c>
      <c r="AW53" s="3"/>
      <c r="AX53" s="5"/>
      <c r="AY53" s="68"/>
      <c r="AZ53" s="6"/>
      <c r="BA53" s="71"/>
      <c r="BC53" s="116">
        <f t="shared" si="57"/>
        <v>0</v>
      </c>
      <c r="BD53" s="78">
        <v>43405</v>
      </c>
      <c r="BE53" s="3"/>
      <c r="BF53" s="5"/>
      <c r="BG53" s="68"/>
      <c r="BH53" s="6"/>
      <c r="BI53" s="71"/>
      <c r="BK53" s="116">
        <f t="shared" si="58"/>
        <v>0</v>
      </c>
      <c r="BL53" s="78">
        <v>43405</v>
      </c>
      <c r="BM53" s="3"/>
      <c r="BN53" s="5"/>
      <c r="BO53" s="68"/>
      <c r="BP53" s="6"/>
      <c r="BQ53" s="71"/>
      <c r="BS53" s="116">
        <f t="shared" si="59"/>
        <v>0</v>
      </c>
      <c r="BT53" s="78">
        <v>43405</v>
      </c>
      <c r="BU53" s="3"/>
      <c r="BV53" s="5"/>
      <c r="BW53" s="68"/>
      <c r="BX53" s="6"/>
      <c r="BY53" s="71"/>
      <c r="CA53" s="116">
        <f t="shared" si="60"/>
        <v>0</v>
      </c>
      <c r="CB53" s="78">
        <v>43405</v>
      </c>
      <c r="CC53" s="3"/>
      <c r="CD53" s="5"/>
      <c r="CE53" s="68"/>
      <c r="CF53" s="6"/>
      <c r="CG53" s="71"/>
      <c r="CI53" s="116">
        <f t="shared" si="61"/>
        <v>0</v>
      </c>
      <c r="CJ53" s="78">
        <v>43405</v>
      </c>
      <c r="CK53" s="3"/>
      <c r="CL53" s="5"/>
      <c r="CM53" s="68"/>
      <c r="CN53" s="6"/>
      <c r="CO53" s="71"/>
      <c r="CQ53" s="116">
        <f t="shared" si="62"/>
        <v>9</v>
      </c>
      <c r="CR53" s="78">
        <v>43405</v>
      </c>
      <c r="CS53" s="3">
        <f>[6]IRR!AL46</f>
        <v>7119.7567446554722</v>
      </c>
      <c r="CT53" s="5">
        <f>CS53/(1+'[6]Assets to be Leased'!$B$9)</f>
        <v>6137.721331599545</v>
      </c>
      <c r="CU53" s="68"/>
      <c r="CV53" s="6">
        <f>[6]IRR!AO46</f>
        <v>1096.4714398920746</v>
      </c>
      <c r="CW53" s="71">
        <f>[6]IRR!AP46/(1+'[6]Assets to be Leased'!$B$9)</f>
        <v>99369.366569343591</v>
      </c>
      <c r="CZ53" s="78">
        <v>43374</v>
      </c>
      <c r="DA53" s="142">
        <f>IF(DO52&gt;=DA52,0,U52*(1+'[6]Assets to be Leased'!$B$9))</f>
        <v>0</v>
      </c>
      <c r="DB53" s="143">
        <f>IF(DO52&gt;=DB52,0,AC52*(1+'[6]Assets to be Leased'!$B$9))</f>
        <v>0</v>
      </c>
      <c r="DC53" s="143">
        <f>IF(DO52&gt;=DC52,0,AK52*(1+'[6]Assets to be Leased'!$B$9))</f>
        <v>0</v>
      </c>
      <c r="DD53" s="144" t="str">
        <f>IF(AS52="","",AS52*(1+'[6]Assets to be Leased'!$B$9))</f>
        <v/>
      </c>
      <c r="DE53" s="144">
        <f>BA52*(1+'[6]Assets to be Leased'!$B$9)</f>
        <v>0</v>
      </c>
      <c r="DF53" s="144">
        <f>BI52*(1+'[6]Assets to be Leased'!$B$9)</f>
        <v>0</v>
      </c>
      <c r="DG53" s="144">
        <f>BQ52*(1+'[6]Assets to be Leased'!$B$9)</f>
        <v>0</v>
      </c>
      <c r="DH53" s="144">
        <f>BY52*(1+'[6]Assets to be Leased'!$B$9)</f>
        <v>0</v>
      </c>
      <c r="DI53" s="144">
        <f>CG52*(1+'[6]Assets to be Leased'!$B$9)</f>
        <v>0</v>
      </c>
      <c r="DJ53" s="144">
        <f>CO52*(1+'[6]Assets to be Leased'!$B$9)</f>
        <v>0</v>
      </c>
      <c r="DK53" s="176">
        <f>CW52*(1+'[6]Assets to be Leased'!$B$9)</f>
        <v>121291.75052520196</v>
      </c>
      <c r="DL53" s="176">
        <f t="shared" si="27"/>
        <v>121291.75052520196</v>
      </c>
      <c r="DM53" s="161">
        <f t="array" ref="DM53">IFERROR(SMALL(IF(DA53:DC53&gt;0,DA53:DC53),1),0)</f>
        <v>0</v>
      </c>
      <c r="DN53" s="78">
        <v>43374</v>
      </c>
      <c r="DO53" s="169">
        <f>IF(DS52+DR53&gt;DM53,HLOOKUP(DM53,DA53:$DL$82,1,FALSE),0)</f>
        <v>0</v>
      </c>
      <c r="DP53" s="217"/>
      <c r="DQ53" s="217"/>
      <c r="DR53" s="217"/>
      <c r="DS53" s="218"/>
    </row>
    <row r="54" spans="1:123">
      <c r="A54" s="1784"/>
      <c r="B54" s="23" t="s">
        <v>68</v>
      </c>
      <c r="C54" s="9">
        <f>C52-C53</f>
        <v>0</v>
      </c>
      <c r="D54" s="9">
        <f>D52-D53</f>
        <v>0</v>
      </c>
      <c r="E54" s="9">
        <f>E52-E53</f>
        <v>0</v>
      </c>
      <c r="F54" s="9">
        <f t="shared" ref="F54:L54" si="64">F52-F53</f>
        <v>0</v>
      </c>
      <c r="G54" s="9">
        <f t="shared" si="64"/>
        <v>0</v>
      </c>
      <c r="H54" s="9">
        <f t="shared" si="64"/>
        <v>0</v>
      </c>
      <c r="I54" s="9">
        <f t="shared" si="64"/>
        <v>0</v>
      </c>
      <c r="J54" s="9">
        <f t="shared" si="64"/>
        <v>0</v>
      </c>
      <c r="K54" s="9">
        <f t="shared" si="64"/>
        <v>0</v>
      </c>
      <c r="L54" s="22">
        <f t="shared" si="64"/>
        <v>0</v>
      </c>
      <c r="M54" s="12"/>
      <c r="O54" s="116">
        <f t="shared" si="52"/>
        <v>0</v>
      </c>
      <c r="P54" s="78">
        <v>43435</v>
      </c>
      <c r="Q54" s="95"/>
      <c r="R54" s="80"/>
      <c r="S54" s="95"/>
      <c r="T54" s="80"/>
      <c r="U54" s="80"/>
      <c r="V54" s="86"/>
      <c r="W54" s="116">
        <f t="shared" si="53"/>
        <v>0</v>
      </c>
      <c r="X54" s="78">
        <v>43435</v>
      </c>
      <c r="Y54" s="104"/>
      <c r="Z54" s="105"/>
      <c r="AA54" s="104"/>
      <c r="AB54" s="105"/>
      <c r="AC54" s="110"/>
      <c r="AE54" s="116">
        <f t="shared" si="54"/>
        <v>0</v>
      </c>
      <c r="AF54" s="78">
        <v>43435</v>
      </c>
      <c r="AG54" s="3"/>
      <c r="AH54" s="5"/>
      <c r="AI54" s="68"/>
      <c r="AJ54" s="6"/>
      <c r="AK54" s="71"/>
      <c r="AM54" s="116">
        <f t="shared" si="55"/>
        <v>0</v>
      </c>
      <c r="AN54" s="78">
        <v>43435</v>
      </c>
      <c r="AO54" s="3"/>
      <c r="AP54" s="5"/>
      <c r="AQ54" s="68"/>
      <c r="AR54" s="6"/>
      <c r="AS54" s="71"/>
      <c r="AU54" s="116">
        <f t="shared" si="56"/>
        <v>0</v>
      </c>
      <c r="AV54" s="78">
        <v>43435</v>
      </c>
      <c r="AW54" s="3"/>
      <c r="AX54" s="5"/>
      <c r="AY54" s="68"/>
      <c r="AZ54" s="6"/>
      <c r="BA54" s="71"/>
      <c r="BC54" s="116">
        <f t="shared" si="57"/>
        <v>0</v>
      </c>
      <c r="BD54" s="78">
        <v>43435</v>
      </c>
      <c r="BE54" s="3"/>
      <c r="BF54" s="5"/>
      <c r="BG54" s="68"/>
      <c r="BH54" s="6"/>
      <c r="BI54" s="71"/>
      <c r="BK54" s="116">
        <f t="shared" si="58"/>
        <v>0</v>
      </c>
      <c r="BL54" s="78">
        <v>43435</v>
      </c>
      <c r="BM54" s="3"/>
      <c r="BN54" s="5"/>
      <c r="BO54" s="68"/>
      <c r="BP54" s="6"/>
      <c r="BQ54" s="71"/>
      <c r="BS54" s="116">
        <f t="shared" si="59"/>
        <v>0</v>
      </c>
      <c r="BT54" s="78">
        <v>43435</v>
      </c>
      <c r="BU54" s="3"/>
      <c r="BV54" s="5"/>
      <c r="BW54" s="68"/>
      <c r="BX54" s="6"/>
      <c r="BY54" s="71"/>
      <c r="CA54" s="116">
        <f t="shared" si="60"/>
        <v>0</v>
      </c>
      <c r="CB54" s="78">
        <v>43435</v>
      </c>
      <c r="CC54" s="3"/>
      <c r="CD54" s="5"/>
      <c r="CE54" s="68"/>
      <c r="CF54" s="6"/>
      <c r="CG54" s="71"/>
      <c r="CI54" s="116">
        <f t="shared" si="61"/>
        <v>0</v>
      </c>
      <c r="CJ54" s="78">
        <v>43435</v>
      </c>
      <c r="CK54" s="3"/>
      <c r="CL54" s="5"/>
      <c r="CM54" s="68"/>
      <c r="CN54" s="6"/>
      <c r="CO54" s="71"/>
      <c r="CQ54" s="116">
        <f t="shared" si="62"/>
        <v>0</v>
      </c>
      <c r="CR54" s="78">
        <v>43435</v>
      </c>
      <c r="CS54" s="3">
        <f>[6]IRR!AL47</f>
        <v>0</v>
      </c>
      <c r="CT54" s="5">
        <f>CS54/(1+'[6]Assets to be Leased'!$B$9)</f>
        <v>0</v>
      </c>
      <c r="CU54" s="68"/>
      <c r="CV54" s="6">
        <f>[6]IRR!AO47</f>
        <v>1042.0212379418401</v>
      </c>
      <c r="CW54" s="71">
        <f>[6]IRR!AP47/(1+'[6]Assets to be Leased'!$B$9)</f>
        <v>100267.66073998311</v>
      </c>
      <c r="CZ54" s="78">
        <v>43405</v>
      </c>
      <c r="DA54" s="142">
        <f>IF(DO53&gt;=DA53,0,U53*(1+'[6]Assets to be Leased'!$B$9))</f>
        <v>0</v>
      </c>
      <c r="DB54" s="143">
        <f>IF(DO53&gt;=DB53,0,AC53*(1+'[6]Assets to be Leased'!$B$9))</f>
        <v>0</v>
      </c>
      <c r="DC54" s="143">
        <f>IF(DO53&gt;=DC53,0,AK53*(1+'[6]Assets to be Leased'!$B$9))</f>
        <v>0</v>
      </c>
      <c r="DD54" s="144" t="str">
        <f>IF(AS53="","",AS53*(1+'[6]Assets to be Leased'!$B$9))</f>
        <v/>
      </c>
      <c r="DE54" s="144">
        <f>BA53*(1+'[6]Assets to be Leased'!$B$9)</f>
        <v>0</v>
      </c>
      <c r="DF54" s="144">
        <f>BI53*(1+'[6]Assets to be Leased'!$B$9)</f>
        <v>0</v>
      </c>
      <c r="DG54" s="144">
        <f>BQ53*(1+'[6]Assets to be Leased'!$B$9)</f>
        <v>0</v>
      </c>
      <c r="DH54" s="144">
        <f>BY53*(1+'[6]Assets to be Leased'!$B$9)</f>
        <v>0</v>
      </c>
      <c r="DI54" s="144">
        <f>CG53*(1+'[6]Assets to be Leased'!$B$9)</f>
        <v>0</v>
      </c>
      <c r="DJ54" s="144">
        <f>CO53*(1+'[6]Assets to be Leased'!$B$9)</f>
        <v>0</v>
      </c>
      <c r="DK54" s="176">
        <f>CW53*(1+'[6]Assets to be Leased'!$B$9)</f>
        <v>115268.46522043856</v>
      </c>
      <c r="DL54" s="176">
        <f t="shared" si="27"/>
        <v>115268.46522043856</v>
      </c>
      <c r="DM54" s="161">
        <f t="array" ref="DM54">IFERROR(SMALL(IF(DA54:DC54&gt;0,DA54:DC54),1),0)</f>
        <v>0</v>
      </c>
      <c r="DN54" s="78">
        <v>43405</v>
      </c>
      <c r="DO54" s="169">
        <f>IF(DS53+DR54&gt;DM54,HLOOKUP(DM54,DA54:$DL$82,1,FALSE),0)</f>
        <v>0</v>
      </c>
      <c r="DP54" s="213"/>
      <c r="DQ54" s="213"/>
      <c r="DR54" s="213"/>
      <c r="DS54" s="216"/>
    </row>
    <row r="55" spans="1:123">
      <c r="A55" s="1784"/>
      <c r="B55" s="23" t="s">
        <v>54</v>
      </c>
      <c r="C55" s="63">
        <f>$AZ29</f>
        <v>0</v>
      </c>
      <c r="D55" s="8">
        <f>$AZ42</f>
        <v>0</v>
      </c>
      <c r="E55" s="8">
        <f>$AZ55</f>
        <v>0</v>
      </c>
      <c r="F55" s="8">
        <f>$AZ68</f>
        <v>0</v>
      </c>
      <c r="G55" s="8">
        <f>$AZ81</f>
        <v>0</v>
      </c>
      <c r="H55" s="8">
        <f>$AZ94</f>
        <v>0</v>
      </c>
      <c r="I55" s="8">
        <f>$AZ107</f>
        <v>0</v>
      </c>
      <c r="J55" s="8">
        <f>$AZ120</f>
        <v>0</v>
      </c>
      <c r="K55" s="8">
        <f>$AZ133</f>
        <v>0</v>
      </c>
      <c r="L55" s="62">
        <f>$AZ146</f>
        <v>0</v>
      </c>
      <c r="M55" s="12"/>
      <c r="O55" s="138" t="s">
        <v>20</v>
      </c>
      <c r="P55" s="87">
        <f>P42+1</f>
        <v>2018</v>
      </c>
      <c r="Q55" s="94">
        <f>SUM(Q43:Q54)</f>
        <v>0</v>
      </c>
      <c r="R55" s="94">
        <f>SUM(R43:R54)</f>
        <v>0</v>
      </c>
      <c r="S55" s="94">
        <f>SUM(S43:S54)</f>
        <v>0</v>
      </c>
      <c r="T55" s="94">
        <f>SUM(T43:T54)</f>
        <v>0</v>
      </c>
      <c r="U55" s="94">
        <f>U54</f>
        <v>0</v>
      </c>
      <c r="V55" s="101"/>
      <c r="W55" s="138" t="s">
        <v>20</v>
      </c>
      <c r="X55" s="87">
        <f>X42+1</f>
        <v>2018</v>
      </c>
      <c r="Y55" s="107">
        <f>SUM(Y43:Y54)</f>
        <v>0</v>
      </c>
      <c r="Z55" s="107">
        <f>SUM(Z43:Z54)</f>
        <v>0</v>
      </c>
      <c r="AA55" s="107">
        <f>SUM(AA43:AA54)</f>
        <v>0</v>
      </c>
      <c r="AB55" s="107">
        <f>SUM(AB43:AB54)</f>
        <v>0</v>
      </c>
      <c r="AC55" s="107">
        <f>AC54</f>
        <v>0</v>
      </c>
      <c r="AE55" s="138" t="s">
        <v>20</v>
      </c>
      <c r="AF55" s="87">
        <f>AF42+1</f>
        <v>2018</v>
      </c>
      <c r="AG55" s="107">
        <f>SUM(AG43:AG54)</f>
        <v>0</v>
      </c>
      <c r="AH55" s="107">
        <f>SUM(AH43:AH54)</f>
        <v>0</v>
      </c>
      <c r="AI55" s="107">
        <f>SUM(AI43:AI54)</f>
        <v>0</v>
      </c>
      <c r="AJ55" s="107">
        <f>SUM(AJ43:AJ54)</f>
        <v>0</v>
      </c>
      <c r="AK55" s="107">
        <f>AK54</f>
        <v>0</v>
      </c>
      <c r="AM55" s="138" t="s">
        <v>20</v>
      </c>
      <c r="AN55" s="87">
        <f>AN42+1</f>
        <v>2018</v>
      </c>
      <c r="AO55" s="107">
        <f>SUM(AO43:AO54)</f>
        <v>0</v>
      </c>
      <c r="AP55" s="107">
        <f>SUM(AP43:AP54)</f>
        <v>0</v>
      </c>
      <c r="AQ55" s="107">
        <f>SUM(AQ43:AQ54)</f>
        <v>0</v>
      </c>
      <c r="AR55" s="107">
        <f>SUM(AR43:AR54)</f>
        <v>0</v>
      </c>
      <c r="AS55" s="107">
        <f>AS54</f>
        <v>0</v>
      </c>
      <c r="AU55" s="138" t="s">
        <v>20</v>
      </c>
      <c r="AV55" s="87">
        <f>AV42+1</f>
        <v>2018</v>
      </c>
      <c r="AW55" s="107">
        <f>SUM(AW43:AW54)</f>
        <v>0</v>
      </c>
      <c r="AX55" s="107">
        <f>SUM(AX43:AX54)</f>
        <v>0</v>
      </c>
      <c r="AY55" s="107">
        <f>SUM(AY43:AY54)</f>
        <v>0</v>
      </c>
      <c r="AZ55" s="107">
        <f>SUM(AZ43:AZ54)</f>
        <v>0</v>
      </c>
      <c r="BA55" s="107">
        <f>BA54</f>
        <v>0</v>
      </c>
      <c r="BC55" s="138" t="s">
        <v>20</v>
      </c>
      <c r="BD55" s="87">
        <f>BD42+1</f>
        <v>2018</v>
      </c>
      <c r="BE55" s="107">
        <f>SUM(BE43:BE54)</f>
        <v>0</v>
      </c>
      <c r="BF55" s="107">
        <f>SUM(BF43:BF54)</f>
        <v>0</v>
      </c>
      <c r="BG55" s="107">
        <f>SUM(BG43:BG54)</f>
        <v>0</v>
      </c>
      <c r="BH55" s="107">
        <f>SUM(BH43:BH54)</f>
        <v>0</v>
      </c>
      <c r="BI55" s="107">
        <f>BI54</f>
        <v>0</v>
      </c>
      <c r="BK55" s="138" t="s">
        <v>20</v>
      </c>
      <c r="BL55" s="87">
        <f>BL42+1</f>
        <v>2018</v>
      </c>
      <c r="BM55" s="107">
        <f>SUM(BM43:BM54)</f>
        <v>0</v>
      </c>
      <c r="BN55" s="107">
        <f>SUM(BN43:BN54)</f>
        <v>0</v>
      </c>
      <c r="BO55" s="107">
        <f>SUM(BO43:BO54)</f>
        <v>0</v>
      </c>
      <c r="BP55" s="107">
        <f>SUM(BP43:BP54)</f>
        <v>0</v>
      </c>
      <c r="BQ55" s="107">
        <f>BQ54</f>
        <v>0</v>
      </c>
      <c r="BS55" s="138" t="s">
        <v>20</v>
      </c>
      <c r="BT55" s="87">
        <f>BT42+1</f>
        <v>2018</v>
      </c>
      <c r="BU55" s="107">
        <f>SUM(BU43:BU54)</f>
        <v>0</v>
      </c>
      <c r="BV55" s="107">
        <f>SUM(BV43:BV54)</f>
        <v>0</v>
      </c>
      <c r="BW55" s="107">
        <f>SUM(BW43:BW54)</f>
        <v>0</v>
      </c>
      <c r="BX55" s="107">
        <f>SUM(BX43:BX54)</f>
        <v>0</v>
      </c>
      <c r="BY55" s="107">
        <f>BY54</f>
        <v>0</v>
      </c>
      <c r="CA55" s="138" t="s">
        <v>20</v>
      </c>
      <c r="CB55" s="87">
        <f>CB42+1</f>
        <v>2018</v>
      </c>
      <c r="CC55" s="107">
        <f>SUM(CC43:CC54)</f>
        <v>0</v>
      </c>
      <c r="CD55" s="107">
        <f>SUM(CD43:CD54)</f>
        <v>0</v>
      </c>
      <c r="CE55" s="107">
        <f>SUM(CE43:CE54)</f>
        <v>0</v>
      </c>
      <c r="CF55" s="107">
        <f>SUM(CF43:CF54)</f>
        <v>0</v>
      </c>
      <c r="CG55" s="107">
        <f>CG54</f>
        <v>0</v>
      </c>
      <c r="CI55" s="138" t="s">
        <v>20</v>
      </c>
      <c r="CJ55" s="87">
        <f>CJ42+1</f>
        <v>2018</v>
      </c>
      <c r="CK55" s="107">
        <f>SUM(CK43:CK54)</f>
        <v>0</v>
      </c>
      <c r="CL55" s="107">
        <f>SUM(CL43:CL54)</f>
        <v>0</v>
      </c>
      <c r="CM55" s="107">
        <f>SUM(CM43:CM54)</f>
        <v>0</v>
      </c>
      <c r="CN55" s="107">
        <f>SUM(CN43:CN54)</f>
        <v>0</v>
      </c>
      <c r="CO55" s="107">
        <f>CO54</f>
        <v>0</v>
      </c>
      <c r="CQ55" s="138" t="s">
        <v>20</v>
      </c>
      <c r="CR55" s="87">
        <f>CR42+1</f>
        <v>2018</v>
      </c>
      <c r="CS55" s="107">
        <f>SUM(CS43:CS54)</f>
        <v>64077.81070189926</v>
      </c>
      <c r="CT55" s="107">
        <f>SUM(CT43:CT54)</f>
        <v>55239.491984395914</v>
      </c>
      <c r="CU55" s="107">
        <f>SUM(CU43:CU54)</f>
        <v>0</v>
      </c>
      <c r="CV55" s="107">
        <f>SUM(CV43:CV54)</f>
        <v>15801.995568681452</v>
      </c>
      <c r="CW55" s="107">
        <f>CW54</f>
        <v>100267.66073998311</v>
      </c>
      <c r="CZ55" s="78">
        <v>43435</v>
      </c>
      <c r="DA55" s="142">
        <f>IF(DO54&gt;=DA54,0,U54*(1+'[6]Assets to be Leased'!$B$9))</f>
        <v>0</v>
      </c>
      <c r="DB55" s="143">
        <f>IF(DO54&gt;=DB54,0,AC54*(1+'[6]Assets to be Leased'!$B$9))</f>
        <v>0</v>
      </c>
      <c r="DC55" s="143">
        <f>IF(DO54&gt;=DC54,0,AK54*(1+'[6]Assets to be Leased'!$B$9))</f>
        <v>0</v>
      </c>
      <c r="DD55" s="144" t="str">
        <f>IF(AS54="","",AS54*(1+'[6]Assets to be Leased'!$B$9))</f>
        <v/>
      </c>
      <c r="DE55" s="144">
        <f>BA54*(1+'[6]Assets to be Leased'!$B$9)</f>
        <v>0</v>
      </c>
      <c r="DF55" s="144">
        <f>BI54*(1+'[6]Assets to be Leased'!$B$9)</f>
        <v>0</v>
      </c>
      <c r="DG55" s="144">
        <f>BQ54*(1+'[6]Assets to be Leased'!$B$9)</f>
        <v>0</v>
      </c>
      <c r="DH55" s="144">
        <f>BY54*(1+'[6]Assets to be Leased'!$B$9)</f>
        <v>0</v>
      </c>
      <c r="DI55" s="144">
        <f>CG54*(1+'[6]Assets to be Leased'!$B$9)</f>
        <v>0</v>
      </c>
      <c r="DJ55" s="144">
        <f>CO54*(1+'[6]Assets to be Leased'!$B$9)</f>
        <v>0</v>
      </c>
      <c r="DK55" s="176">
        <f>CW54*(1+'[6]Assets to be Leased'!$B$9)</f>
        <v>116310.4864583804</v>
      </c>
      <c r="DL55" s="176">
        <f t="shared" si="27"/>
        <v>116310.4864583804</v>
      </c>
      <c r="DM55" s="161">
        <f t="array" ref="DM55">IFERROR(SMALL(IF(DA55:DC55&gt;0,DA55:DC55),1),0)</f>
        <v>0</v>
      </c>
      <c r="DN55" s="78">
        <v>43435</v>
      </c>
      <c r="DO55" s="169">
        <f>IF(DS54+DR55&gt;DM55,HLOOKUP(DM55,DA55:$DL$82,1,FALSE),0)</f>
        <v>0</v>
      </c>
      <c r="DP55" s="213"/>
      <c r="DQ55" s="213"/>
      <c r="DR55" s="213"/>
      <c r="DS55" s="216"/>
    </row>
    <row r="56" spans="1:123">
      <c r="A56" s="1784"/>
      <c r="B56" s="23" t="s">
        <v>63</v>
      </c>
      <c r="C56" s="8">
        <f>$AY42</f>
        <v>0</v>
      </c>
      <c r="D56" s="8">
        <f>$AY55</f>
        <v>0</v>
      </c>
      <c r="E56" s="8">
        <f>$AY68</f>
        <v>0</v>
      </c>
      <c r="F56" s="8">
        <f>$AY81</f>
        <v>0</v>
      </c>
      <c r="G56" s="8">
        <f>$AY94</f>
        <v>0</v>
      </c>
      <c r="H56" s="8">
        <f>$AY107</f>
        <v>0</v>
      </c>
      <c r="I56" s="8">
        <f>$AY120</f>
        <v>0</v>
      </c>
      <c r="J56" s="8">
        <f>$AY133</f>
        <v>0</v>
      </c>
      <c r="K56" s="8">
        <f>$AY146</f>
        <v>0</v>
      </c>
      <c r="L56" s="62"/>
      <c r="M56" s="12"/>
      <c r="O56" s="116">
        <f>IF(AND(Q56&gt;0,O54&gt;=0),O54+1,0)</f>
        <v>0</v>
      </c>
      <c r="P56" s="77">
        <v>43466</v>
      </c>
      <c r="Q56" s="82"/>
      <c r="R56" s="82"/>
      <c r="S56" s="82"/>
      <c r="T56" s="82"/>
      <c r="U56" s="82"/>
      <c r="V56" s="86"/>
      <c r="W56" s="116">
        <f>IF(AND(Y56&gt;0,W54&gt;=0),W54+1,0)</f>
        <v>0</v>
      </c>
      <c r="X56" s="77">
        <v>43466</v>
      </c>
      <c r="Y56" s="104"/>
      <c r="Z56" s="105"/>
      <c r="AA56" s="104"/>
      <c r="AB56" s="105"/>
      <c r="AC56" s="110"/>
      <c r="AE56" s="116">
        <f>IF(AND(AG56&gt;0,AE54&gt;=0),AE54+1,0)</f>
        <v>0</v>
      </c>
      <c r="AF56" s="77">
        <v>43466</v>
      </c>
      <c r="AG56" s="3"/>
      <c r="AH56" s="5"/>
      <c r="AI56" s="68"/>
      <c r="AJ56" s="6"/>
      <c r="AK56" s="71"/>
      <c r="AM56" s="116">
        <f>IF(AND(AO56&gt;0,AM54&gt;=0),AM54+1,0)</f>
        <v>0</v>
      </c>
      <c r="AN56" s="77">
        <v>43466</v>
      </c>
      <c r="AO56" s="3"/>
      <c r="AP56" s="5"/>
      <c r="AQ56" s="68"/>
      <c r="AR56" s="6"/>
      <c r="AS56" s="71"/>
      <c r="AU56" s="116">
        <f>IF(AND(AW56&gt;0,AU54&gt;=0),AU54+1,0)</f>
        <v>0</v>
      </c>
      <c r="AV56" s="77">
        <v>43466</v>
      </c>
      <c r="AW56" s="3"/>
      <c r="AX56" s="5"/>
      <c r="AY56" s="68"/>
      <c r="AZ56" s="6"/>
      <c r="BA56" s="71"/>
      <c r="BC56" s="116">
        <f>IF(AND(BE56&gt;0,BC54&gt;=0),BC54+1,0)</f>
        <v>0</v>
      </c>
      <c r="BD56" s="77">
        <v>43466</v>
      </c>
      <c r="BE56" s="3"/>
      <c r="BF56" s="5"/>
      <c r="BG56" s="68"/>
      <c r="BH56" s="6"/>
      <c r="BI56" s="71"/>
      <c r="BK56" s="116">
        <f>IF(AND(BM56&gt;0,BK54&gt;=0),BK54+1,0)</f>
        <v>0</v>
      </c>
      <c r="BL56" s="77">
        <v>43466</v>
      </c>
      <c r="BM56" s="3"/>
      <c r="BN56" s="5"/>
      <c r="BO56" s="68"/>
      <c r="BP56" s="6"/>
      <c r="BQ56" s="71"/>
      <c r="BS56" s="116">
        <f>IF(AND(BU56&gt;0,BS54&gt;=0),BS54+1,0)</f>
        <v>0</v>
      </c>
      <c r="BT56" s="77">
        <v>43466</v>
      </c>
      <c r="BU56" s="3"/>
      <c r="BV56" s="5"/>
      <c r="BW56" s="68"/>
      <c r="BX56" s="6"/>
      <c r="BY56" s="71"/>
      <c r="CA56" s="116">
        <f>IF(AND(CC56&gt;0,CA54&gt;=0),CA54+1,0)</f>
        <v>0</v>
      </c>
      <c r="CB56" s="77">
        <v>43466</v>
      </c>
      <c r="CC56" s="3"/>
      <c r="CD56" s="5"/>
      <c r="CE56" s="68"/>
      <c r="CF56" s="6"/>
      <c r="CG56" s="71"/>
      <c r="CI56" s="116">
        <f>IF(AND(CK56&gt;0,CI54&gt;=0),CI54+1,0)</f>
        <v>0</v>
      </c>
      <c r="CJ56" s="77">
        <v>43466</v>
      </c>
      <c r="CK56" s="3"/>
      <c r="CL56" s="5"/>
      <c r="CM56" s="68"/>
      <c r="CN56" s="6"/>
      <c r="CO56" s="71"/>
      <c r="CQ56" s="116">
        <f>IF(AND(CS56&gt;0,CQ54&gt;=0),CQ54+1,0)</f>
        <v>0</v>
      </c>
      <c r="CR56" s="77">
        <v>43466</v>
      </c>
      <c r="CS56" s="3">
        <f>[6]IRR!AL48</f>
        <v>0</v>
      </c>
      <c r="CT56" s="5">
        <f>CS56/(1+'[6]Assets to be Leased'!$B$9)</f>
        <v>0</v>
      </c>
      <c r="CU56" s="68"/>
      <c r="CV56" s="6">
        <f>[6]IRR!AO48</f>
        <v>1051.4410585167507</v>
      </c>
      <c r="CW56" s="71">
        <f>[6]IRR!AP48/(1+'[6]Assets to be Leased'!$B$9)</f>
        <v>101174.075445601</v>
      </c>
      <c r="CZ56" s="155">
        <f>CZ43+1</f>
        <v>2018</v>
      </c>
      <c r="DA56" s="142">
        <f>IF(DO55&gt;=DA55,0,U55*(1+'[6]Assets to be Leased'!$B$9))</f>
        <v>0</v>
      </c>
      <c r="DB56" s="143">
        <f>IF(DO55&gt;=DB55,0,AC55*(1+'[6]Assets to be Leased'!$B$9))</f>
        <v>0</v>
      </c>
      <c r="DC56" s="143">
        <f>IF(DO55&gt;=DC55,0,AK55*(1+'[6]Assets to be Leased'!$B$9))</f>
        <v>0</v>
      </c>
      <c r="DD56" s="144">
        <f>IF(AS55="","",AS55*(1+'[6]Assets to be Leased'!$B$9))</f>
        <v>0</v>
      </c>
      <c r="DE56" s="144">
        <f>BA55*(1+'[6]Assets to be Leased'!$B$9)</f>
        <v>0</v>
      </c>
      <c r="DF56" s="144">
        <f>BI55*(1+'[6]Assets to be Leased'!$B$9)</f>
        <v>0</v>
      </c>
      <c r="DG56" s="144">
        <f>BQ55*(1+'[6]Assets to be Leased'!$B$9)</f>
        <v>0</v>
      </c>
      <c r="DH56" s="144">
        <f>BY55*(1+'[6]Assets to be Leased'!$B$9)</f>
        <v>0</v>
      </c>
      <c r="DI56" s="144">
        <f>CG55*(1+'[6]Assets to be Leased'!$B$9)</f>
        <v>0</v>
      </c>
      <c r="DJ56" s="144">
        <f>CO55*(1+'[6]Assets to be Leased'!$B$9)</f>
        <v>0</v>
      </c>
      <c r="DK56" s="176">
        <f>CW55*(1+'[6]Assets to be Leased'!$B$9)</f>
        <v>116310.4864583804</v>
      </c>
      <c r="DL56" s="176">
        <f t="shared" si="27"/>
        <v>116310.4864583804</v>
      </c>
      <c r="DM56" s="161">
        <f t="array" ref="DM56">IFERROR(SMALL(IF(DA56:DC56&gt;0,DA56:DC56),1),0)</f>
        <v>0</v>
      </c>
      <c r="DN56" s="155">
        <f>DN43+1</f>
        <v>2018</v>
      </c>
      <c r="DO56" s="169">
        <f>IF(DS55+DR56&gt;DM56,HLOOKUP(DM56,DA56:$DL$82,1,FALSE),0)</f>
        <v>0</v>
      </c>
      <c r="DP56" s="214"/>
      <c r="DQ56" s="214"/>
      <c r="DR56" s="214"/>
      <c r="DS56" s="106"/>
    </row>
    <row r="57" spans="1:123">
      <c r="A57" s="1785"/>
      <c r="B57" s="64" t="s">
        <v>64</v>
      </c>
      <c r="C57" s="61">
        <f>IF(BA29-C56&lt;0,0,BA29-C56)</f>
        <v>0</v>
      </c>
      <c r="D57" s="61">
        <f>IF(BA42-D56&lt;0,0,BA42-D56)</f>
        <v>0</v>
      </c>
      <c r="E57" s="61">
        <f>IF(BA55-E56&lt;0,0,BA55-E56)</f>
        <v>0</v>
      </c>
      <c r="F57" s="61">
        <f>IF(BA68-F56&lt;0,0,BA68-F56)</f>
        <v>0</v>
      </c>
      <c r="G57" s="61">
        <f>IF(BA81-G56&lt;0,0,BA81-G56)</f>
        <v>0</v>
      </c>
      <c r="H57" s="61">
        <f>IF(BA94-H56&lt;0,0,BA94-H56)</f>
        <v>0</v>
      </c>
      <c r="I57" s="61">
        <f>IF(BA107-I56&lt;0,0,BA107-I56)</f>
        <v>0</v>
      </c>
      <c r="J57" s="61">
        <f>IF(BA120-J56&lt;0,0,BA120-J56)</f>
        <v>0</v>
      </c>
      <c r="K57" s="61">
        <f>IF(BA133-K56&lt;0,0,BA133-K56)</f>
        <v>0</v>
      </c>
      <c r="L57" s="65">
        <f>IF(BA146-L56&lt;0,0,BA146-L56)</f>
        <v>0</v>
      </c>
      <c r="M57" s="12"/>
      <c r="O57" s="116">
        <f t="shared" ref="O57:O67" si="65">IF(AND(Q57&gt;0,O56&gt;=0),O56+1,0)</f>
        <v>0</v>
      </c>
      <c r="P57" s="78">
        <v>43497</v>
      </c>
      <c r="Q57" s="80"/>
      <c r="R57" s="80"/>
      <c r="S57" s="80"/>
      <c r="T57" s="80"/>
      <c r="U57" s="80"/>
      <c r="V57" s="86"/>
      <c r="W57" s="116">
        <f t="shared" ref="W57:W67" si="66">IF(AND(Y57&gt;0,W56&gt;=0),W56+1,0)</f>
        <v>0</v>
      </c>
      <c r="X57" s="78">
        <v>43497</v>
      </c>
      <c r="Y57" s="104"/>
      <c r="Z57" s="105"/>
      <c r="AA57" s="104"/>
      <c r="AB57" s="105"/>
      <c r="AC57" s="110"/>
      <c r="AE57" s="116">
        <f t="shared" ref="AE57:AE67" si="67">IF(AND(AG57&gt;0,AE56&gt;=0),AE56+1,0)</f>
        <v>0</v>
      </c>
      <c r="AF57" s="78">
        <v>43497</v>
      </c>
      <c r="AG57" s="3"/>
      <c r="AH57" s="5"/>
      <c r="AI57" s="68"/>
      <c r="AJ57" s="6"/>
      <c r="AK57" s="71"/>
      <c r="AM57" s="116">
        <f t="shared" ref="AM57:AM67" si="68">IF(AND(AO57&gt;0,AM56&gt;=0),AM56+1,0)</f>
        <v>0</v>
      </c>
      <c r="AN57" s="78">
        <v>43497</v>
      </c>
      <c r="AO57" s="3"/>
      <c r="AP57" s="5"/>
      <c r="AQ57" s="68"/>
      <c r="AR57" s="6"/>
      <c r="AS57" s="71"/>
      <c r="AU57" s="116">
        <f t="shared" ref="AU57:AU67" si="69">IF(AND(AW57&gt;0,AU56&gt;=0),AU56+1,0)</f>
        <v>0</v>
      </c>
      <c r="AV57" s="78">
        <v>43497</v>
      </c>
      <c r="AW57" s="3"/>
      <c r="AX57" s="5"/>
      <c r="AY57" s="68"/>
      <c r="AZ57" s="6"/>
      <c r="BA57" s="71"/>
      <c r="BC57" s="116">
        <f t="shared" ref="BC57:BC67" si="70">IF(AND(BE57&gt;0,BC56&gt;=0),BC56+1,0)</f>
        <v>0</v>
      </c>
      <c r="BD57" s="78">
        <v>43497</v>
      </c>
      <c r="BE57" s="3"/>
      <c r="BF57" s="5"/>
      <c r="BG57" s="68"/>
      <c r="BH57" s="6"/>
      <c r="BI57" s="71"/>
      <c r="BK57" s="116">
        <f t="shared" ref="BK57:BK67" si="71">IF(AND(BM57&gt;0,BK56&gt;=0),BK56+1,0)</f>
        <v>0</v>
      </c>
      <c r="BL57" s="78">
        <v>43497</v>
      </c>
      <c r="BM57" s="3"/>
      <c r="BN57" s="5"/>
      <c r="BO57" s="68"/>
      <c r="BP57" s="6"/>
      <c r="BQ57" s="71"/>
      <c r="BS57" s="116">
        <f t="shared" ref="BS57:BS67" si="72">IF(AND(BU57&gt;0,BS56&gt;=0),BS56+1,0)</f>
        <v>0</v>
      </c>
      <c r="BT57" s="78">
        <v>43497</v>
      </c>
      <c r="BU57" s="3"/>
      <c r="BV57" s="5"/>
      <c r="BW57" s="68"/>
      <c r="BX57" s="6"/>
      <c r="BY57" s="71"/>
      <c r="CA57" s="116">
        <f t="shared" ref="CA57:CA67" si="73">IF(AND(CC57&gt;0,CA56&gt;=0),CA56+1,0)</f>
        <v>0</v>
      </c>
      <c r="CB57" s="78">
        <v>43497</v>
      </c>
      <c r="CC57" s="3"/>
      <c r="CD57" s="5"/>
      <c r="CE57" s="68"/>
      <c r="CF57" s="6"/>
      <c r="CG57" s="71"/>
      <c r="CI57" s="116">
        <f t="shared" ref="CI57:CI67" si="74">IF(AND(CK57&gt;0,CI56&gt;=0),CI56+1,0)</f>
        <v>0</v>
      </c>
      <c r="CJ57" s="78">
        <v>43497</v>
      </c>
      <c r="CK57" s="3"/>
      <c r="CL57" s="5"/>
      <c r="CM57" s="68"/>
      <c r="CN57" s="6"/>
      <c r="CO57" s="71"/>
      <c r="CQ57" s="116">
        <f t="shared" ref="CQ57:CQ67" si="75">IF(AND(CS57&gt;0,CQ56&gt;=0),CQ56+1,0)</f>
        <v>0</v>
      </c>
      <c r="CR57" s="78">
        <v>43497</v>
      </c>
      <c r="CS57" s="3">
        <f>[6]IRR!AL49</f>
        <v>0</v>
      </c>
      <c r="CT57" s="5">
        <f>CS57/(1+'[6]Assets to be Leased'!$B$9)</f>
        <v>0</v>
      </c>
      <c r="CU57" s="68"/>
      <c r="CV57" s="6">
        <f>[6]IRR!AO49</f>
        <v>1060.9460338048596</v>
      </c>
      <c r="CW57" s="71">
        <f>[6]IRR!AP49/(1+'[6]Assets to be Leased'!$B$9)</f>
        <v>102088.68409543278</v>
      </c>
      <c r="CZ57" s="77">
        <v>43466</v>
      </c>
      <c r="DA57" s="142">
        <f>IF(DO56&gt;=DA56,0,U56*(1+'[6]Assets to be Leased'!$B$9))</f>
        <v>0</v>
      </c>
      <c r="DB57" s="143">
        <f>IF(DO56&gt;=DB56,0,AC56*(1+'[6]Assets to be Leased'!$B$9))</f>
        <v>0</v>
      </c>
      <c r="DC57" s="143">
        <f>IF(DO56&gt;=DC56,0,AK56*(1+'[6]Assets to be Leased'!$B$9))</f>
        <v>0</v>
      </c>
      <c r="DD57" s="144" t="str">
        <f>IF(AS56="","",AS56*(1+'[6]Assets to be Leased'!$B$9))</f>
        <v/>
      </c>
      <c r="DE57" s="144">
        <f>BA56*(1+'[6]Assets to be Leased'!$B$9)</f>
        <v>0</v>
      </c>
      <c r="DF57" s="144">
        <f>BI56*(1+'[6]Assets to be Leased'!$B$9)</f>
        <v>0</v>
      </c>
      <c r="DG57" s="144">
        <f>BQ56*(1+'[6]Assets to be Leased'!$B$9)</f>
        <v>0</v>
      </c>
      <c r="DH57" s="144">
        <f>BY56*(1+'[6]Assets to be Leased'!$B$9)</f>
        <v>0</v>
      </c>
      <c r="DI57" s="144">
        <f>CG56*(1+'[6]Assets to be Leased'!$B$9)</f>
        <v>0</v>
      </c>
      <c r="DJ57" s="144">
        <f>CO56*(1+'[6]Assets to be Leased'!$B$9)</f>
        <v>0</v>
      </c>
      <c r="DK57" s="176">
        <f>CW56*(1+'[6]Assets to be Leased'!$B$9)</f>
        <v>117361.92751689715</v>
      </c>
      <c r="DL57" s="176">
        <f t="shared" si="27"/>
        <v>117361.92751689715</v>
      </c>
      <c r="DM57" s="161">
        <f t="array" ref="DM57">IFERROR(SMALL(IF(DA57:DC57&gt;0,DA57:DC57),1),0)</f>
        <v>0</v>
      </c>
      <c r="DN57" s="77">
        <v>43466</v>
      </c>
      <c r="DO57" s="169">
        <f>IF(DS56+DR57&gt;DM57,HLOOKUP(DM57,DA57:$DL$82,1,FALSE),0)</f>
        <v>0</v>
      </c>
      <c r="DP57" s="213"/>
      <c r="DQ57" s="213"/>
      <c r="DR57" s="213"/>
      <c r="DS57" s="216"/>
    </row>
    <row r="58" spans="1:123">
      <c r="A58" s="1783">
        <f>B9</f>
        <v>0</v>
      </c>
      <c r="B58" s="122" t="s">
        <v>67</v>
      </c>
      <c r="C58" s="11">
        <f>$BE29</f>
        <v>0</v>
      </c>
      <c r="D58" s="11">
        <f>$BE42</f>
        <v>0</v>
      </c>
      <c r="E58" s="11">
        <f>$BE55</f>
        <v>0</v>
      </c>
      <c r="F58" s="11">
        <f>$BE68</f>
        <v>0</v>
      </c>
      <c r="G58" s="11">
        <f>$BE81</f>
        <v>0</v>
      </c>
      <c r="H58" s="11">
        <f>$BE94</f>
        <v>0</v>
      </c>
      <c r="I58" s="11">
        <f>$BE107</f>
        <v>0</v>
      </c>
      <c r="J58" s="11">
        <f>$BE120</f>
        <v>0</v>
      </c>
      <c r="K58" s="11">
        <f>$BE133</f>
        <v>0</v>
      </c>
      <c r="L58" s="74">
        <f>$BE146</f>
        <v>0</v>
      </c>
      <c r="M58" s="12"/>
      <c r="O58" s="116">
        <f t="shared" si="65"/>
        <v>0</v>
      </c>
      <c r="P58" s="78">
        <v>43525</v>
      </c>
      <c r="Q58" s="80"/>
      <c r="R58" s="80"/>
      <c r="S58" s="80"/>
      <c r="T58" s="80"/>
      <c r="U58" s="80"/>
      <c r="V58" s="86"/>
      <c r="W58" s="116">
        <f t="shared" si="66"/>
        <v>0</v>
      </c>
      <c r="X58" s="78">
        <v>43525</v>
      </c>
      <c r="Y58" s="104"/>
      <c r="Z58" s="105"/>
      <c r="AA58" s="104"/>
      <c r="AB58" s="105"/>
      <c r="AC58" s="110"/>
      <c r="AE58" s="116">
        <f t="shared" si="67"/>
        <v>0</v>
      </c>
      <c r="AF58" s="78">
        <v>43525</v>
      </c>
      <c r="AG58" s="3"/>
      <c r="AH58" s="5"/>
      <c r="AI58" s="68"/>
      <c r="AJ58" s="6"/>
      <c r="AK58" s="71"/>
      <c r="AM58" s="116">
        <f t="shared" si="68"/>
        <v>0</v>
      </c>
      <c r="AN58" s="78">
        <v>43525</v>
      </c>
      <c r="AO58" s="3"/>
      <c r="AP58" s="5"/>
      <c r="AQ58" s="68"/>
      <c r="AR58" s="6"/>
      <c r="AS58" s="71"/>
      <c r="AU58" s="116">
        <f t="shared" si="69"/>
        <v>0</v>
      </c>
      <c r="AV58" s="78">
        <v>43525</v>
      </c>
      <c r="AW58" s="3"/>
      <c r="AX58" s="5"/>
      <c r="AY58" s="68"/>
      <c r="AZ58" s="6"/>
      <c r="BA58" s="71"/>
      <c r="BC58" s="116">
        <f t="shared" si="70"/>
        <v>0</v>
      </c>
      <c r="BD58" s="78">
        <v>43525</v>
      </c>
      <c r="BE58" s="3"/>
      <c r="BF58" s="5"/>
      <c r="BG58" s="68"/>
      <c r="BH58" s="6"/>
      <c r="BI58" s="71"/>
      <c r="BK58" s="116">
        <f t="shared" si="71"/>
        <v>0</v>
      </c>
      <c r="BL58" s="78">
        <v>43525</v>
      </c>
      <c r="BM58" s="3"/>
      <c r="BN58" s="5"/>
      <c r="BO58" s="68"/>
      <c r="BP58" s="6"/>
      <c r="BQ58" s="71"/>
      <c r="BS58" s="116">
        <f t="shared" si="72"/>
        <v>0</v>
      </c>
      <c r="BT58" s="78">
        <v>43525</v>
      </c>
      <c r="BU58" s="3"/>
      <c r="BV58" s="5"/>
      <c r="BW58" s="68"/>
      <c r="BX58" s="6"/>
      <c r="BY58" s="71"/>
      <c r="CA58" s="116">
        <f t="shared" si="73"/>
        <v>0</v>
      </c>
      <c r="CB58" s="78">
        <v>43525</v>
      </c>
      <c r="CC58" s="3"/>
      <c r="CD58" s="5"/>
      <c r="CE58" s="68"/>
      <c r="CF58" s="6"/>
      <c r="CG58" s="71"/>
      <c r="CI58" s="116">
        <f t="shared" si="74"/>
        <v>0</v>
      </c>
      <c r="CJ58" s="78">
        <v>43525</v>
      </c>
      <c r="CK58" s="3"/>
      <c r="CL58" s="5"/>
      <c r="CM58" s="68"/>
      <c r="CN58" s="6"/>
      <c r="CO58" s="71"/>
      <c r="CQ58" s="116">
        <f t="shared" si="75"/>
        <v>1</v>
      </c>
      <c r="CR58" s="78">
        <v>43525</v>
      </c>
      <c r="CS58" s="3">
        <f>[6]IRR!AL50</f>
        <v>7119.7567446554722</v>
      </c>
      <c r="CT58" s="5">
        <f>CS58/(1+'[6]Assets to be Leased'!$B$9)</f>
        <v>6137.721331599545</v>
      </c>
      <c r="CU58" s="68"/>
      <c r="CV58" s="6">
        <f>[6]IRR!AO50</f>
        <v>1070.5369336005722</v>
      </c>
      <c r="CW58" s="71">
        <f>[6]IRR!AP50/(1+'[6]Assets to be Leased'!$B$9)</f>
        <v>96873.839430730281</v>
      </c>
      <c r="CZ58" s="78">
        <v>43497</v>
      </c>
      <c r="DA58" s="142">
        <f>IF(DO57&gt;=DA57,0,U57*(1+'[6]Assets to be Leased'!$B$9))</f>
        <v>0</v>
      </c>
      <c r="DB58" s="143">
        <f>IF(DO57&gt;=DB57,0,AC57*(1+'[6]Assets to be Leased'!$B$9))</f>
        <v>0</v>
      </c>
      <c r="DC58" s="143">
        <f>IF(DO57&gt;=DC57,0,AK57*(1+'[6]Assets to be Leased'!$B$9))</f>
        <v>0</v>
      </c>
      <c r="DD58" s="144" t="str">
        <f>IF(AS57="","",AS57*(1+'[6]Assets to be Leased'!$B$9))</f>
        <v/>
      </c>
      <c r="DE58" s="144">
        <f>BA57*(1+'[6]Assets to be Leased'!$B$9)</f>
        <v>0</v>
      </c>
      <c r="DF58" s="144">
        <f>BI57*(1+'[6]Assets to be Leased'!$B$9)</f>
        <v>0</v>
      </c>
      <c r="DG58" s="144">
        <f>BQ57*(1+'[6]Assets to be Leased'!$B$9)</f>
        <v>0</v>
      </c>
      <c r="DH58" s="144">
        <f>BY57*(1+'[6]Assets to be Leased'!$B$9)</f>
        <v>0</v>
      </c>
      <c r="DI58" s="144">
        <f>CG57*(1+'[6]Assets to be Leased'!$B$9)</f>
        <v>0</v>
      </c>
      <c r="DJ58" s="144">
        <f>CO57*(1+'[6]Assets to be Leased'!$B$9)</f>
        <v>0</v>
      </c>
      <c r="DK58" s="176">
        <f>CW57*(1+'[6]Assets to be Leased'!$B$9)</f>
        <v>118422.87355070202</v>
      </c>
      <c r="DL58" s="176">
        <f t="shared" si="27"/>
        <v>118422.87355070202</v>
      </c>
      <c r="DM58" s="161">
        <f t="array" ref="DM58">IFERROR(SMALL(IF(DA58:DC58&gt;0,DA58:DC58),1),0)</f>
        <v>0</v>
      </c>
      <c r="DN58" s="78">
        <v>43497</v>
      </c>
      <c r="DO58" s="169">
        <f>IF(DS57+DR58&gt;DM58,HLOOKUP(DM58,DA58:$DL$82,1,FALSE),0)</f>
        <v>0</v>
      </c>
      <c r="DP58" s="213"/>
      <c r="DQ58" s="213"/>
      <c r="DR58" s="213"/>
      <c r="DS58" s="216"/>
    </row>
    <row r="59" spans="1:123">
      <c r="A59" s="1784"/>
      <c r="B59" s="23" t="s">
        <v>69</v>
      </c>
      <c r="C59" s="9">
        <f>$BF29</f>
        <v>0</v>
      </c>
      <c r="D59" s="9">
        <f>$BF42</f>
        <v>0</v>
      </c>
      <c r="E59" s="9">
        <f>$BF55</f>
        <v>0</v>
      </c>
      <c r="F59" s="9">
        <f>$BF68</f>
        <v>0</v>
      </c>
      <c r="G59" s="9">
        <f>$BF81</f>
        <v>0</v>
      </c>
      <c r="H59" s="9">
        <f>$BF94</f>
        <v>0</v>
      </c>
      <c r="I59" s="9">
        <f>$BF107</f>
        <v>0</v>
      </c>
      <c r="J59" s="9">
        <f>$BF120</f>
        <v>0</v>
      </c>
      <c r="K59" s="9">
        <f>$BF133</f>
        <v>0</v>
      </c>
      <c r="L59" s="22">
        <f>$BF146</f>
        <v>0</v>
      </c>
      <c r="M59" s="12"/>
      <c r="O59" s="116">
        <f t="shared" si="65"/>
        <v>0</v>
      </c>
      <c r="P59" s="78">
        <v>43556</v>
      </c>
      <c r="Q59" s="80"/>
      <c r="R59" s="80"/>
      <c r="S59" s="80"/>
      <c r="T59" s="80"/>
      <c r="U59" s="80"/>
      <c r="V59" s="86"/>
      <c r="W59" s="116">
        <f t="shared" si="66"/>
        <v>0</v>
      </c>
      <c r="X59" s="78">
        <v>43556</v>
      </c>
      <c r="Y59" s="104"/>
      <c r="Z59" s="105"/>
      <c r="AA59" s="104"/>
      <c r="AB59" s="105"/>
      <c r="AC59" s="110"/>
      <c r="AE59" s="116">
        <f t="shared" si="67"/>
        <v>0</v>
      </c>
      <c r="AF59" s="78">
        <v>43556</v>
      </c>
      <c r="AG59" s="3"/>
      <c r="AH59" s="5"/>
      <c r="AI59" s="68"/>
      <c r="AJ59" s="6"/>
      <c r="AK59" s="71"/>
      <c r="AM59" s="116">
        <f t="shared" si="68"/>
        <v>0</v>
      </c>
      <c r="AN59" s="78">
        <v>43556</v>
      </c>
      <c r="AO59" s="3"/>
      <c r="AP59" s="5"/>
      <c r="AQ59" s="68"/>
      <c r="AR59" s="6"/>
      <c r="AS59" s="71"/>
      <c r="AU59" s="116">
        <f t="shared" si="69"/>
        <v>0</v>
      </c>
      <c r="AV59" s="78">
        <v>43556</v>
      </c>
      <c r="AW59" s="3"/>
      <c r="AX59" s="5"/>
      <c r="AY59" s="68"/>
      <c r="AZ59" s="6"/>
      <c r="BA59" s="71"/>
      <c r="BC59" s="116">
        <f t="shared" si="70"/>
        <v>0</v>
      </c>
      <c r="BD59" s="78">
        <v>43556</v>
      </c>
      <c r="BE59" s="3"/>
      <c r="BF59" s="5"/>
      <c r="BG59" s="68"/>
      <c r="BH59" s="6"/>
      <c r="BI59" s="71"/>
      <c r="BK59" s="116">
        <f t="shared" si="71"/>
        <v>0</v>
      </c>
      <c r="BL59" s="78">
        <v>43556</v>
      </c>
      <c r="BM59" s="3"/>
      <c r="BN59" s="5"/>
      <c r="BO59" s="68"/>
      <c r="BP59" s="6"/>
      <c r="BQ59" s="71"/>
      <c r="BS59" s="116">
        <f t="shared" si="72"/>
        <v>0</v>
      </c>
      <c r="BT59" s="78">
        <v>43556</v>
      </c>
      <c r="BU59" s="3"/>
      <c r="BV59" s="5"/>
      <c r="BW59" s="68"/>
      <c r="BX59" s="6"/>
      <c r="BY59" s="71"/>
      <c r="CA59" s="116">
        <f t="shared" si="73"/>
        <v>0</v>
      </c>
      <c r="CB59" s="78">
        <v>43556</v>
      </c>
      <c r="CC59" s="3"/>
      <c r="CD59" s="5"/>
      <c r="CE59" s="68"/>
      <c r="CF59" s="6"/>
      <c r="CG59" s="71"/>
      <c r="CI59" s="116">
        <f t="shared" si="74"/>
        <v>0</v>
      </c>
      <c r="CJ59" s="78">
        <v>43556</v>
      </c>
      <c r="CK59" s="3"/>
      <c r="CL59" s="5"/>
      <c r="CM59" s="68"/>
      <c r="CN59" s="6"/>
      <c r="CO59" s="71"/>
      <c r="CQ59" s="116">
        <f t="shared" si="75"/>
        <v>2</v>
      </c>
      <c r="CR59" s="78">
        <v>43556</v>
      </c>
      <c r="CS59" s="3">
        <f>[6]IRR!AL51</f>
        <v>7119.7567446554722</v>
      </c>
      <c r="CT59" s="5">
        <f>CS59/(1+'[6]Assets to be Leased'!$B$9)</f>
        <v>6137.721331599545</v>
      </c>
      <c r="CU59" s="68"/>
      <c r="CV59" s="6">
        <f>[6]IRR!AO51</f>
        <v>1015.85228499314</v>
      </c>
      <c r="CW59" s="71">
        <f>[6]IRR!AP51/(1+'[6]Assets to be Leased'!$B$9)</f>
        <v>91611.852827573108</v>
      </c>
      <c r="CZ59" s="78">
        <v>43525</v>
      </c>
      <c r="DA59" s="142">
        <f>IF(DO58&gt;=DA58,0,U58*(1+'[6]Assets to be Leased'!$B$9))</f>
        <v>0</v>
      </c>
      <c r="DB59" s="143">
        <f>IF(DO58&gt;=DB58,0,AC58*(1+'[6]Assets to be Leased'!$B$9))</f>
        <v>0</v>
      </c>
      <c r="DC59" s="143">
        <f>IF(DO58&gt;=DC58,0,AK58*(1+'[6]Assets to be Leased'!$B$9))</f>
        <v>0</v>
      </c>
      <c r="DD59" s="144" t="str">
        <f>IF(AS58="","",AS58*(1+'[6]Assets to be Leased'!$B$9))</f>
        <v/>
      </c>
      <c r="DE59" s="144">
        <f>BA58*(1+'[6]Assets to be Leased'!$B$9)</f>
        <v>0</v>
      </c>
      <c r="DF59" s="144">
        <f>BI58*(1+'[6]Assets to be Leased'!$B$9)</f>
        <v>0</v>
      </c>
      <c r="DG59" s="144">
        <f>BQ58*(1+'[6]Assets to be Leased'!$B$9)</f>
        <v>0</v>
      </c>
      <c r="DH59" s="144">
        <f>BY58*(1+'[6]Assets to be Leased'!$B$9)</f>
        <v>0</v>
      </c>
      <c r="DI59" s="144">
        <f>CG58*(1+'[6]Assets to be Leased'!$B$9)</f>
        <v>0</v>
      </c>
      <c r="DJ59" s="144">
        <f>CO58*(1+'[6]Assets to be Leased'!$B$9)</f>
        <v>0</v>
      </c>
      <c r="DK59" s="176">
        <f>CW58*(1+'[6]Assets to be Leased'!$B$9)</f>
        <v>112373.65373964712</v>
      </c>
      <c r="DL59" s="176">
        <f t="shared" si="27"/>
        <v>112373.65373964712</v>
      </c>
      <c r="DM59" s="161">
        <f t="array" ref="DM59">IFERROR(SMALL(IF(DA59:DC59&gt;0,DA59:DC59),1),0)</f>
        <v>0</v>
      </c>
      <c r="DN59" s="78">
        <v>43525</v>
      </c>
      <c r="DO59" s="169">
        <f>IF(DS58+DR59&gt;DM59,HLOOKUP(DM59,DA59:$DL$82,1,FALSE),0)</f>
        <v>0</v>
      </c>
      <c r="DP59" s="213"/>
      <c r="DQ59" s="213"/>
      <c r="DR59" s="213"/>
      <c r="DS59" s="216"/>
    </row>
    <row r="60" spans="1:123">
      <c r="A60" s="1784"/>
      <c r="B60" s="23" t="s">
        <v>68</v>
      </c>
      <c r="C60" s="9">
        <f>C58-C59</f>
        <v>0</v>
      </c>
      <c r="D60" s="9">
        <f>D58-D59</f>
        <v>0</v>
      </c>
      <c r="E60" s="9">
        <f>E58-E59</f>
        <v>0</v>
      </c>
      <c r="F60" s="9">
        <f t="shared" ref="F60:L60" si="76">F58-F59</f>
        <v>0</v>
      </c>
      <c r="G60" s="9">
        <f t="shared" si="76"/>
        <v>0</v>
      </c>
      <c r="H60" s="9">
        <f t="shared" si="76"/>
        <v>0</v>
      </c>
      <c r="I60" s="9">
        <f t="shared" si="76"/>
        <v>0</v>
      </c>
      <c r="J60" s="9">
        <f t="shared" si="76"/>
        <v>0</v>
      </c>
      <c r="K60" s="9">
        <f t="shared" si="76"/>
        <v>0</v>
      </c>
      <c r="L60" s="22">
        <f t="shared" si="76"/>
        <v>0</v>
      </c>
      <c r="M60" s="12"/>
      <c r="O60" s="116">
        <f t="shared" si="65"/>
        <v>0</v>
      </c>
      <c r="P60" s="78">
        <v>43586</v>
      </c>
      <c r="Q60" s="80"/>
      <c r="R60" s="80"/>
      <c r="S60" s="80"/>
      <c r="T60" s="80"/>
      <c r="U60" s="80"/>
      <c r="V60" s="86"/>
      <c r="W60" s="116">
        <f t="shared" si="66"/>
        <v>0</v>
      </c>
      <c r="X60" s="78">
        <v>43586</v>
      </c>
      <c r="Y60" s="104"/>
      <c r="Z60" s="105"/>
      <c r="AA60" s="104"/>
      <c r="AB60" s="105"/>
      <c r="AC60" s="110"/>
      <c r="AE60" s="116">
        <f t="shared" si="67"/>
        <v>0</v>
      </c>
      <c r="AF60" s="78">
        <v>43586</v>
      </c>
      <c r="AG60" s="3"/>
      <c r="AH60" s="5"/>
      <c r="AI60" s="68"/>
      <c r="AJ60" s="6"/>
      <c r="AK60" s="71"/>
      <c r="AM60" s="116">
        <f t="shared" si="68"/>
        <v>0</v>
      </c>
      <c r="AN60" s="78">
        <v>43586</v>
      </c>
      <c r="AO60" s="3"/>
      <c r="AP60" s="5"/>
      <c r="AQ60" s="68"/>
      <c r="AR60" s="6"/>
      <c r="AS60" s="71"/>
      <c r="AU60" s="116">
        <f t="shared" si="69"/>
        <v>0</v>
      </c>
      <c r="AV60" s="78">
        <v>43586</v>
      </c>
      <c r="AW60" s="3"/>
      <c r="AX60" s="5"/>
      <c r="AY60" s="68"/>
      <c r="AZ60" s="6"/>
      <c r="BA60" s="71"/>
      <c r="BC60" s="116">
        <f t="shared" si="70"/>
        <v>0</v>
      </c>
      <c r="BD60" s="78">
        <v>43586</v>
      </c>
      <c r="BE60" s="3"/>
      <c r="BF60" s="5"/>
      <c r="BG60" s="68"/>
      <c r="BH60" s="6"/>
      <c r="BI60" s="71"/>
      <c r="BK60" s="116">
        <f t="shared" si="71"/>
        <v>0</v>
      </c>
      <c r="BL60" s="78">
        <v>43586</v>
      </c>
      <c r="BM60" s="3"/>
      <c r="BN60" s="5"/>
      <c r="BO60" s="68"/>
      <c r="BP60" s="6"/>
      <c r="BQ60" s="71"/>
      <c r="BS60" s="116">
        <f t="shared" si="72"/>
        <v>0</v>
      </c>
      <c r="BT60" s="78">
        <v>43586</v>
      </c>
      <c r="BU60" s="3"/>
      <c r="BV60" s="5"/>
      <c r="BW60" s="68"/>
      <c r="BX60" s="6"/>
      <c r="BY60" s="71"/>
      <c r="CA60" s="116">
        <f t="shared" si="73"/>
        <v>0</v>
      </c>
      <c r="CB60" s="78">
        <v>43586</v>
      </c>
      <c r="CC60" s="3"/>
      <c r="CD60" s="5"/>
      <c r="CE60" s="68"/>
      <c r="CF60" s="6"/>
      <c r="CG60" s="71"/>
      <c r="CI60" s="116">
        <f t="shared" si="74"/>
        <v>0</v>
      </c>
      <c r="CJ60" s="78">
        <v>43586</v>
      </c>
      <c r="CK60" s="3"/>
      <c r="CL60" s="5"/>
      <c r="CM60" s="68"/>
      <c r="CN60" s="6"/>
      <c r="CO60" s="71"/>
      <c r="CQ60" s="116">
        <f t="shared" si="75"/>
        <v>3</v>
      </c>
      <c r="CR60" s="78">
        <v>43586</v>
      </c>
      <c r="CS60" s="3">
        <f>[6]IRR!AL52</f>
        <v>7119.7567446554722</v>
      </c>
      <c r="CT60" s="5">
        <f>CS60/(1+'[6]Assets to be Leased'!$B$9)</f>
        <v>6137.721331599545</v>
      </c>
      <c r="CU60" s="68"/>
      <c r="CV60" s="6">
        <f>[6]IRR!AO52</f>
        <v>960.67328986058146</v>
      </c>
      <c r="CW60" s="71">
        <f>[6]IRR!AP52/(1+'[6]Assets to be Leased'!$B$9)</f>
        <v>86302.298125163725</v>
      </c>
      <c r="CZ60" s="78">
        <v>43556</v>
      </c>
      <c r="DA60" s="142">
        <f>IF(DO59&gt;=DA59,0,U59*(1+'[6]Assets to be Leased'!$B$9))</f>
        <v>0</v>
      </c>
      <c r="DB60" s="143">
        <f>IF(DO59&gt;=DB59,0,AC59*(1+'[6]Assets to be Leased'!$B$9))</f>
        <v>0</v>
      </c>
      <c r="DC60" s="143">
        <f>IF(DO59&gt;=DC59,0,AK59*(1+'[6]Assets to be Leased'!$B$9))</f>
        <v>0</v>
      </c>
      <c r="DD60" s="144" t="str">
        <f>IF(AS59="","",AS59*(1+'[6]Assets to be Leased'!$B$9))</f>
        <v/>
      </c>
      <c r="DE60" s="144">
        <f>BA59*(1+'[6]Assets to be Leased'!$B$9)</f>
        <v>0</v>
      </c>
      <c r="DF60" s="144">
        <f>BI59*(1+'[6]Assets to be Leased'!$B$9)</f>
        <v>0</v>
      </c>
      <c r="DG60" s="144">
        <f>BQ59*(1+'[6]Assets to be Leased'!$B$9)</f>
        <v>0</v>
      </c>
      <c r="DH60" s="144">
        <f>BY59*(1+'[6]Assets to be Leased'!$B$9)</f>
        <v>0</v>
      </c>
      <c r="DI60" s="144">
        <f>CG59*(1+'[6]Assets to be Leased'!$B$9)</f>
        <v>0</v>
      </c>
      <c r="DJ60" s="144">
        <f>CO59*(1+'[6]Assets to be Leased'!$B$9)</f>
        <v>0</v>
      </c>
      <c r="DK60" s="176">
        <f>CW59*(1+'[6]Assets to be Leased'!$B$9)</f>
        <v>106269.7492799848</v>
      </c>
      <c r="DL60" s="176">
        <f t="shared" si="27"/>
        <v>106269.7492799848</v>
      </c>
      <c r="DM60" s="161">
        <f t="array" ref="DM60">IFERROR(SMALL(IF(DA60:DC60&gt;0,DA60:DC60),1),0)</f>
        <v>0</v>
      </c>
      <c r="DN60" s="78">
        <v>43556</v>
      </c>
      <c r="DO60" s="169">
        <f>IF(DS59+DR60&gt;DM60,HLOOKUP(DM60,DA60:$DL$82,1,FALSE),0)</f>
        <v>0</v>
      </c>
      <c r="DP60" s="213"/>
      <c r="DQ60" s="213"/>
      <c r="DR60" s="213"/>
      <c r="DS60" s="216"/>
    </row>
    <row r="61" spans="1:123">
      <c r="A61" s="1784"/>
      <c r="B61" s="23" t="s">
        <v>54</v>
      </c>
      <c r="C61" s="63">
        <f>$BH29</f>
        <v>0</v>
      </c>
      <c r="D61" s="8">
        <f>$BH42</f>
        <v>0</v>
      </c>
      <c r="E61" s="8">
        <f>$BH55</f>
        <v>0</v>
      </c>
      <c r="F61" s="8">
        <f>$BH68</f>
        <v>0</v>
      </c>
      <c r="G61" s="8">
        <f>$BH81</f>
        <v>0</v>
      </c>
      <c r="H61" s="8">
        <f>$BH94</f>
        <v>0</v>
      </c>
      <c r="I61" s="8">
        <f>$BH107</f>
        <v>0</v>
      </c>
      <c r="J61" s="8">
        <f>$BH120</f>
        <v>0</v>
      </c>
      <c r="K61" s="8">
        <f>$BH133</f>
        <v>0</v>
      </c>
      <c r="L61" s="62">
        <f>$BH146</f>
        <v>0</v>
      </c>
      <c r="M61" s="12"/>
      <c r="O61" s="116">
        <f t="shared" si="65"/>
        <v>0</v>
      </c>
      <c r="P61" s="78">
        <v>43617</v>
      </c>
      <c r="Q61" s="80"/>
      <c r="R61" s="80"/>
      <c r="S61" s="80"/>
      <c r="T61" s="80"/>
      <c r="U61" s="80"/>
      <c r="V61" s="86"/>
      <c r="W61" s="116">
        <f t="shared" si="66"/>
        <v>0</v>
      </c>
      <c r="X61" s="78">
        <v>43617</v>
      </c>
      <c r="Y61" s="104"/>
      <c r="Z61" s="105"/>
      <c r="AA61" s="104"/>
      <c r="AB61" s="105"/>
      <c r="AC61" s="110"/>
      <c r="AE61" s="116">
        <f t="shared" si="67"/>
        <v>0</v>
      </c>
      <c r="AF61" s="78">
        <v>43617</v>
      </c>
      <c r="AG61" s="3"/>
      <c r="AH61" s="5"/>
      <c r="AI61" s="68"/>
      <c r="AJ61" s="6"/>
      <c r="AK61" s="71"/>
      <c r="AM61" s="116">
        <f t="shared" si="68"/>
        <v>0</v>
      </c>
      <c r="AN61" s="78">
        <v>43617</v>
      </c>
      <c r="AO61" s="3"/>
      <c r="AP61" s="5"/>
      <c r="AQ61" s="68"/>
      <c r="AR61" s="6"/>
      <c r="AS61" s="71"/>
      <c r="AU61" s="116">
        <f t="shared" si="69"/>
        <v>0</v>
      </c>
      <c r="AV61" s="78">
        <v>43617</v>
      </c>
      <c r="AW61" s="3"/>
      <c r="AX61" s="5"/>
      <c r="AY61" s="68"/>
      <c r="AZ61" s="6"/>
      <c r="BA61" s="71"/>
      <c r="BC61" s="116">
        <f t="shared" si="70"/>
        <v>0</v>
      </c>
      <c r="BD61" s="78">
        <v>43617</v>
      </c>
      <c r="BE61" s="3"/>
      <c r="BF61" s="5"/>
      <c r="BG61" s="68"/>
      <c r="BH61" s="6"/>
      <c r="BI61" s="71"/>
      <c r="BK61" s="116">
        <f t="shared" si="71"/>
        <v>0</v>
      </c>
      <c r="BL61" s="78">
        <v>43617</v>
      </c>
      <c r="BM61" s="3"/>
      <c r="BN61" s="5"/>
      <c r="BO61" s="68"/>
      <c r="BP61" s="6"/>
      <c r="BQ61" s="71"/>
      <c r="BS61" s="116">
        <f t="shared" si="72"/>
        <v>0</v>
      </c>
      <c r="BT61" s="78">
        <v>43617</v>
      </c>
      <c r="BU61" s="3"/>
      <c r="BV61" s="5"/>
      <c r="BW61" s="68"/>
      <c r="BX61" s="6"/>
      <c r="BY61" s="71"/>
      <c r="CA61" s="116">
        <f t="shared" si="73"/>
        <v>0</v>
      </c>
      <c r="CB61" s="78">
        <v>43617</v>
      </c>
      <c r="CC61" s="3"/>
      <c r="CD61" s="5"/>
      <c r="CE61" s="68"/>
      <c r="CF61" s="6"/>
      <c r="CG61" s="71"/>
      <c r="CI61" s="116">
        <f t="shared" si="74"/>
        <v>0</v>
      </c>
      <c r="CJ61" s="78">
        <v>43617</v>
      </c>
      <c r="CK61" s="3"/>
      <c r="CL61" s="5"/>
      <c r="CM61" s="68"/>
      <c r="CN61" s="6"/>
      <c r="CO61" s="71"/>
      <c r="CQ61" s="116">
        <f t="shared" si="75"/>
        <v>4</v>
      </c>
      <c r="CR61" s="78">
        <v>43617</v>
      </c>
      <c r="CS61" s="3">
        <f>[6]IRR!AL53</f>
        <v>7119.7567446554722</v>
      </c>
      <c r="CT61" s="5">
        <f>CS61/(1+'[6]Assets to be Leased'!$B$9)</f>
        <v>6137.721331599545</v>
      </c>
      <c r="CU61" s="68"/>
      <c r="CV61" s="6">
        <f>[6]IRR!AO53</f>
        <v>904.99547933470228</v>
      </c>
      <c r="CW61" s="71">
        <f>[6]IRR!AP53/(1+'[6]Assets to be Leased'!$B$9)</f>
        <v>80944.745310232014</v>
      </c>
      <c r="CZ61" s="78">
        <v>43586</v>
      </c>
      <c r="DA61" s="142">
        <f>IF(DO60&gt;=DA60,0,U60*(1+'[6]Assets to be Leased'!$B$9))</f>
        <v>0</v>
      </c>
      <c r="DB61" s="143">
        <f>IF(DO60&gt;=DB60,0,AC60*(1+'[6]Assets to be Leased'!$B$9))</f>
        <v>0</v>
      </c>
      <c r="DC61" s="143">
        <f>IF(DO60&gt;=DC60,0,AK60*(1+'[6]Assets to be Leased'!$B$9))</f>
        <v>0</v>
      </c>
      <c r="DD61" s="144" t="str">
        <f>IF(AS60="","",AS60*(1+'[6]Assets to be Leased'!$B$9))</f>
        <v/>
      </c>
      <c r="DE61" s="144">
        <f>BA60*(1+'[6]Assets to be Leased'!$B$9)</f>
        <v>0</v>
      </c>
      <c r="DF61" s="144">
        <f>BI60*(1+'[6]Assets to be Leased'!$B$9)</f>
        <v>0</v>
      </c>
      <c r="DG61" s="144">
        <f>BQ60*(1+'[6]Assets to be Leased'!$B$9)</f>
        <v>0</v>
      </c>
      <c r="DH61" s="144">
        <f>BY60*(1+'[6]Assets to be Leased'!$B$9)</f>
        <v>0</v>
      </c>
      <c r="DI61" s="144">
        <f>CG60*(1+'[6]Assets to be Leased'!$B$9)</f>
        <v>0</v>
      </c>
      <c r="DJ61" s="144">
        <f>CO60*(1+'[6]Assets to be Leased'!$B$9)</f>
        <v>0</v>
      </c>
      <c r="DK61" s="176">
        <f>CW60*(1+'[6]Assets to be Leased'!$B$9)</f>
        <v>100110.66582518992</v>
      </c>
      <c r="DL61" s="176">
        <f t="shared" si="27"/>
        <v>100110.66582518992</v>
      </c>
      <c r="DM61" s="161">
        <f t="array" ref="DM61">IFERROR(SMALL(IF(DA61:DC61&gt;0,DA61:DC61),1),0)</f>
        <v>0</v>
      </c>
      <c r="DN61" s="78">
        <v>43586</v>
      </c>
      <c r="DO61" s="169">
        <f>IF(DS60+DR61&gt;DM61,HLOOKUP(DM61,DA61:$DL$82,1,FALSE),0)</f>
        <v>0</v>
      </c>
      <c r="DP61" s="213"/>
      <c r="DQ61" s="213"/>
      <c r="DR61" s="213"/>
      <c r="DS61" s="216"/>
    </row>
    <row r="62" spans="1:123">
      <c r="A62" s="1784"/>
      <c r="B62" s="23" t="s">
        <v>63</v>
      </c>
      <c r="C62" s="8">
        <f>$BG42</f>
        <v>0</v>
      </c>
      <c r="D62" s="8">
        <f>$BG55</f>
        <v>0</v>
      </c>
      <c r="E62" s="8">
        <f>$BG68</f>
        <v>0</v>
      </c>
      <c r="F62" s="8">
        <f>$BG81</f>
        <v>0</v>
      </c>
      <c r="G62" s="8">
        <f>$BG94</f>
        <v>0</v>
      </c>
      <c r="H62" s="8">
        <f>$BG107</f>
        <v>0</v>
      </c>
      <c r="I62" s="8">
        <f>$BG120</f>
        <v>0</v>
      </c>
      <c r="J62" s="8">
        <f>$BG133</f>
        <v>0</v>
      </c>
      <c r="K62" s="8">
        <f>$BG146</f>
        <v>0</v>
      </c>
      <c r="L62" s="62"/>
      <c r="M62" s="12"/>
      <c r="O62" s="116">
        <f t="shared" si="65"/>
        <v>0</v>
      </c>
      <c r="P62" s="78">
        <v>43647</v>
      </c>
      <c r="Q62" s="80"/>
      <c r="R62" s="80"/>
      <c r="S62" s="80"/>
      <c r="T62" s="80"/>
      <c r="U62" s="80"/>
      <c r="V62" s="86"/>
      <c r="W62" s="116">
        <f t="shared" si="66"/>
        <v>0</v>
      </c>
      <c r="X62" s="78">
        <v>43647</v>
      </c>
      <c r="Y62" s="104"/>
      <c r="Z62" s="105"/>
      <c r="AA62" s="104"/>
      <c r="AB62" s="105"/>
      <c r="AC62" s="110"/>
      <c r="AE62" s="116">
        <f t="shared" si="67"/>
        <v>0</v>
      </c>
      <c r="AF62" s="78">
        <v>43647</v>
      </c>
      <c r="AG62" s="3"/>
      <c r="AH62" s="5"/>
      <c r="AI62" s="68"/>
      <c r="AJ62" s="6"/>
      <c r="AK62" s="71"/>
      <c r="AM62" s="116">
        <f t="shared" si="68"/>
        <v>0</v>
      </c>
      <c r="AN62" s="78">
        <v>43647</v>
      </c>
      <c r="AO62" s="3"/>
      <c r="AP62" s="5"/>
      <c r="AQ62" s="68"/>
      <c r="AR62" s="6"/>
      <c r="AS62" s="71"/>
      <c r="AU62" s="116">
        <f t="shared" si="69"/>
        <v>0</v>
      </c>
      <c r="AV62" s="78">
        <v>43647</v>
      </c>
      <c r="AW62" s="3"/>
      <c r="AX62" s="5"/>
      <c r="AY62" s="68"/>
      <c r="AZ62" s="6"/>
      <c r="BA62" s="71"/>
      <c r="BC62" s="116">
        <f t="shared" si="70"/>
        <v>0</v>
      </c>
      <c r="BD62" s="78">
        <v>43647</v>
      </c>
      <c r="BE62" s="3"/>
      <c r="BF62" s="5"/>
      <c r="BG62" s="68"/>
      <c r="BH62" s="6"/>
      <c r="BI62" s="71"/>
      <c r="BK62" s="116">
        <f t="shared" si="71"/>
        <v>0</v>
      </c>
      <c r="BL62" s="78">
        <v>43647</v>
      </c>
      <c r="BM62" s="3"/>
      <c r="BN62" s="5"/>
      <c r="BO62" s="68"/>
      <c r="BP62" s="6"/>
      <c r="BQ62" s="71"/>
      <c r="BS62" s="116">
        <f t="shared" si="72"/>
        <v>0</v>
      </c>
      <c r="BT62" s="78">
        <v>43647</v>
      </c>
      <c r="BU62" s="3"/>
      <c r="BV62" s="5"/>
      <c r="BW62" s="68"/>
      <c r="BX62" s="6"/>
      <c r="BY62" s="71"/>
      <c r="CA62" s="116">
        <f t="shared" si="73"/>
        <v>0</v>
      </c>
      <c r="CB62" s="78">
        <v>43647</v>
      </c>
      <c r="CC62" s="3"/>
      <c r="CD62" s="5"/>
      <c r="CE62" s="68"/>
      <c r="CF62" s="6"/>
      <c r="CG62" s="71"/>
      <c r="CI62" s="116">
        <f t="shared" si="74"/>
        <v>0</v>
      </c>
      <c r="CJ62" s="78">
        <v>43647</v>
      </c>
      <c r="CK62" s="3"/>
      <c r="CL62" s="5"/>
      <c r="CM62" s="68"/>
      <c r="CN62" s="6"/>
      <c r="CO62" s="71"/>
      <c r="CQ62" s="116">
        <f t="shared" si="75"/>
        <v>5</v>
      </c>
      <c r="CR62" s="78">
        <v>43647</v>
      </c>
      <c r="CS62" s="3">
        <f>[6]IRR!AL54</f>
        <v>7119.7567446554722</v>
      </c>
      <c r="CT62" s="5">
        <f>CS62/(1+'[6]Assets to be Leased'!$B$9)</f>
        <v>6137.721331599545</v>
      </c>
      <c r="CU62" s="68"/>
      <c r="CV62" s="6">
        <f>[6]IRR!AO54</f>
        <v>848.81434414895955</v>
      </c>
      <c r="CW62" s="71">
        <f>[6]IRR!AP54/(1+'[6]Assets to be Leased'!$B$9)</f>
        <v>75538.760482209167</v>
      </c>
      <c r="CZ62" s="78">
        <v>43617</v>
      </c>
      <c r="DA62" s="142">
        <f>IF(DO61&gt;=DA61,0,U61*(1+'[6]Assets to be Leased'!$B$9))</f>
        <v>0</v>
      </c>
      <c r="DB62" s="143">
        <f>IF(DO61&gt;=DB61,0,AC61*(1+'[6]Assets to be Leased'!$B$9))</f>
        <v>0</v>
      </c>
      <c r="DC62" s="143">
        <f>IF(DO61&gt;=DC61,0,AK61*(1+'[6]Assets to be Leased'!$B$9))</f>
        <v>0</v>
      </c>
      <c r="DD62" s="144" t="str">
        <f>IF(AS61="","",AS61*(1+'[6]Assets to be Leased'!$B$9))</f>
        <v/>
      </c>
      <c r="DE62" s="144">
        <f>BA61*(1+'[6]Assets to be Leased'!$B$9)</f>
        <v>0</v>
      </c>
      <c r="DF62" s="144">
        <f>BI61*(1+'[6]Assets to be Leased'!$B$9)</f>
        <v>0</v>
      </c>
      <c r="DG62" s="144">
        <f>BQ61*(1+'[6]Assets to be Leased'!$B$9)</f>
        <v>0</v>
      </c>
      <c r="DH62" s="144">
        <f>BY61*(1+'[6]Assets to be Leased'!$B$9)</f>
        <v>0</v>
      </c>
      <c r="DI62" s="144">
        <f>CG61*(1+'[6]Assets to be Leased'!$B$9)</f>
        <v>0</v>
      </c>
      <c r="DJ62" s="144">
        <f>CO61*(1+'[6]Assets to be Leased'!$B$9)</f>
        <v>0</v>
      </c>
      <c r="DK62" s="176">
        <f>CW61*(1+'[6]Assets to be Leased'!$B$9)</f>
        <v>93895.90455986913</v>
      </c>
      <c r="DL62" s="176">
        <f t="shared" si="27"/>
        <v>93895.90455986913</v>
      </c>
      <c r="DM62" s="161">
        <f t="array" ref="DM62">IFERROR(SMALL(IF(DA62:DC62&gt;0,DA62:DC62),1),0)</f>
        <v>0</v>
      </c>
      <c r="DN62" s="78">
        <v>43617</v>
      </c>
      <c r="DO62" s="169">
        <f>IF(DS61+DR62&gt;DM62,HLOOKUP(DM62,DA62:$DL$82,1,FALSE),0)</f>
        <v>0</v>
      </c>
      <c r="DP62" s="213"/>
      <c r="DQ62" s="213"/>
      <c r="DR62" s="213"/>
      <c r="DS62" s="216"/>
    </row>
    <row r="63" spans="1:123">
      <c r="A63" s="1785"/>
      <c r="B63" s="64" t="s">
        <v>64</v>
      </c>
      <c r="C63" s="61">
        <f>IF(BI29-C62&lt;0,0,BI29-C62)</f>
        <v>0</v>
      </c>
      <c r="D63" s="61">
        <f>IF(BI42-D62&lt;0,0,BI42-D62)</f>
        <v>0</v>
      </c>
      <c r="E63" s="61">
        <f>IF(BI55-E62&lt;0,0,BI55-E62)</f>
        <v>0</v>
      </c>
      <c r="F63" s="61">
        <f>IF(BI68-F62&lt;0,0,BI68-F62)</f>
        <v>0</v>
      </c>
      <c r="G63" s="61">
        <f>IF(BI81-G62&lt;0,0,BI81-G62)</f>
        <v>0</v>
      </c>
      <c r="H63" s="61">
        <f>IF(BI94-H62&lt;0,0,BI94-H62)</f>
        <v>0</v>
      </c>
      <c r="I63" s="61">
        <f>IF(BI107-I62&lt;0,0,BI107-I62)</f>
        <v>0</v>
      </c>
      <c r="J63" s="61">
        <f>IF(BI120-J62&lt;0,0,BI120-J62)</f>
        <v>0</v>
      </c>
      <c r="K63" s="61">
        <f>IF(BI133-K62&lt;0,0,BI133-K62)</f>
        <v>0</v>
      </c>
      <c r="L63" s="65">
        <f>IF(BI146-L62&lt;0,0,BI146-L62)</f>
        <v>0</v>
      </c>
      <c r="M63" s="12"/>
      <c r="O63" s="116">
        <f t="shared" si="65"/>
        <v>0</v>
      </c>
      <c r="P63" s="78">
        <v>43678</v>
      </c>
      <c r="Q63" s="80"/>
      <c r="R63" s="80"/>
      <c r="S63" s="80"/>
      <c r="T63" s="80"/>
      <c r="U63" s="80"/>
      <c r="V63" s="86"/>
      <c r="W63" s="116">
        <f t="shared" si="66"/>
        <v>0</v>
      </c>
      <c r="X63" s="78">
        <v>43678</v>
      </c>
      <c r="Y63" s="104"/>
      <c r="Z63" s="105"/>
      <c r="AA63" s="104"/>
      <c r="AB63" s="105"/>
      <c r="AC63" s="110"/>
      <c r="AE63" s="116">
        <f t="shared" si="67"/>
        <v>0</v>
      </c>
      <c r="AF63" s="78">
        <v>43678</v>
      </c>
      <c r="AG63" s="3"/>
      <c r="AH63" s="5"/>
      <c r="AI63" s="68"/>
      <c r="AJ63" s="6"/>
      <c r="AK63" s="71"/>
      <c r="AM63" s="116">
        <f t="shared" si="68"/>
        <v>0</v>
      </c>
      <c r="AN63" s="78">
        <v>43678</v>
      </c>
      <c r="AO63" s="3"/>
      <c r="AP63" s="5"/>
      <c r="AQ63" s="68"/>
      <c r="AR63" s="6"/>
      <c r="AS63" s="71"/>
      <c r="AU63" s="116">
        <f t="shared" si="69"/>
        <v>0</v>
      </c>
      <c r="AV63" s="78">
        <v>43678</v>
      </c>
      <c r="AW63" s="3"/>
      <c r="AX63" s="5"/>
      <c r="AY63" s="68"/>
      <c r="AZ63" s="6"/>
      <c r="BA63" s="71"/>
      <c r="BC63" s="116">
        <f t="shared" si="70"/>
        <v>0</v>
      </c>
      <c r="BD63" s="78">
        <v>43678</v>
      </c>
      <c r="BE63" s="3"/>
      <c r="BF63" s="5"/>
      <c r="BG63" s="68"/>
      <c r="BH63" s="6"/>
      <c r="BI63" s="71"/>
      <c r="BK63" s="116">
        <f t="shared" si="71"/>
        <v>0</v>
      </c>
      <c r="BL63" s="78">
        <v>43678</v>
      </c>
      <c r="BM63" s="3"/>
      <c r="BN63" s="5"/>
      <c r="BO63" s="68"/>
      <c r="BP63" s="6"/>
      <c r="BQ63" s="71"/>
      <c r="BS63" s="116">
        <f t="shared" si="72"/>
        <v>0</v>
      </c>
      <c r="BT63" s="78">
        <v>43678</v>
      </c>
      <c r="BU63" s="3"/>
      <c r="BV63" s="5"/>
      <c r="BW63" s="68"/>
      <c r="BX63" s="6"/>
      <c r="BY63" s="71"/>
      <c r="CA63" s="116">
        <f t="shared" si="73"/>
        <v>0</v>
      </c>
      <c r="CB63" s="78">
        <v>43678</v>
      </c>
      <c r="CC63" s="3"/>
      <c r="CD63" s="5"/>
      <c r="CE63" s="68"/>
      <c r="CF63" s="6"/>
      <c r="CG63" s="71"/>
      <c r="CI63" s="116">
        <f t="shared" si="74"/>
        <v>0</v>
      </c>
      <c r="CJ63" s="78">
        <v>43678</v>
      </c>
      <c r="CK63" s="3"/>
      <c r="CL63" s="5"/>
      <c r="CM63" s="68"/>
      <c r="CN63" s="6"/>
      <c r="CO63" s="71"/>
      <c r="CQ63" s="116">
        <f t="shared" si="75"/>
        <v>6</v>
      </c>
      <c r="CR63" s="78">
        <v>43678</v>
      </c>
      <c r="CS63" s="3">
        <f>[6]IRR!AL55</f>
        <v>7119.7567446554722</v>
      </c>
      <c r="CT63" s="5">
        <f>CS63/(1+'[6]Assets to be Leased'!$B$9)</f>
        <v>6137.721331599545</v>
      </c>
      <c r="CU63" s="68"/>
      <c r="CV63" s="6">
        <f>[6]IRR!AO55</f>
        <v>792.12533427326343</v>
      </c>
      <c r="CW63" s="71">
        <f>[6]IRR!AP55/(1+'[6]Assets to be Leased'!$B$9)</f>
        <v>70083.905818086569</v>
      </c>
      <c r="CZ63" s="78">
        <v>43647</v>
      </c>
      <c r="DA63" s="142">
        <f>IF(DO62&gt;=DA62,0,U62*(1+'[6]Assets to be Leased'!$B$9))</f>
        <v>0</v>
      </c>
      <c r="DB63" s="143">
        <f>IF(DO62&gt;=DB62,0,AC62*(1+'[6]Assets to be Leased'!$B$9))</f>
        <v>0</v>
      </c>
      <c r="DC63" s="143">
        <f>IF(DO62&gt;=DC62,0,AK62*(1+'[6]Assets to be Leased'!$B$9))</f>
        <v>0</v>
      </c>
      <c r="DD63" s="144" t="str">
        <f>IF(AS62="","",AS62*(1+'[6]Assets to be Leased'!$B$9))</f>
        <v/>
      </c>
      <c r="DE63" s="144">
        <f>BA62*(1+'[6]Assets to be Leased'!$B$9)</f>
        <v>0</v>
      </c>
      <c r="DF63" s="144">
        <f>BI62*(1+'[6]Assets to be Leased'!$B$9)</f>
        <v>0</v>
      </c>
      <c r="DG63" s="144">
        <f>BQ62*(1+'[6]Assets to be Leased'!$B$9)</f>
        <v>0</v>
      </c>
      <c r="DH63" s="144">
        <f>BY62*(1+'[6]Assets to be Leased'!$B$9)</f>
        <v>0</v>
      </c>
      <c r="DI63" s="144">
        <f>CG62*(1+'[6]Assets to be Leased'!$B$9)</f>
        <v>0</v>
      </c>
      <c r="DJ63" s="144">
        <f>CO62*(1+'[6]Assets to be Leased'!$B$9)</f>
        <v>0</v>
      </c>
      <c r="DK63" s="176">
        <f>CW62*(1+'[6]Assets to be Leased'!$B$9)</f>
        <v>87624.962159362622</v>
      </c>
      <c r="DL63" s="176">
        <f t="shared" si="27"/>
        <v>87624.962159362622</v>
      </c>
      <c r="DM63" s="161">
        <f t="array" ref="DM63">IFERROR(SMALL(IF(DA63:DC63&gt;0,DA63:DC63),1),0)</f>
        <v>0</v>
      </c>
      <c r="DN63" s="78">
        <v>43647</v>
      </c>
      <c r="DO63" s="169">
        <f>IF(DS62+DR63&gt;DM63,HLOOKUP(DM63,DA63:$DL$82,1,FALSE),0)</f>
        <v>0</v>
      </c>
      <c r="DP63" s="213"/>
      <c r="DQ63" s="213"/>
      <c r="DR63" s="213"/>
      <c r="DS63" s="216"/>
    </row>
    <row r="64" spans="1:123">
      <c r="A64" s="1783">
        <f>B10</f>
        <v>0</v>
      </c>
      <c r="B64" s="122" t="s">
        <v>67</v>
      </c>
      <c r="C64" s="11">
        <f>$BM29</f>
        <v>0</v>
      </c>
      <c r="D64" s="11">
        <f>$BM42</f>
        <v>0</v>
      </c>
      <c r="E64" s="11">
        <f>$BM55</f>
        <v>0</v>
      </c>
      <c r="F64" s="11">
        <f>$BM68</f>
        <v>0</v>
      </c>
      <c r="G64" s="11">
        <f>$BM81</f>
        <v>0</v>
      </c>
      <c r="H64" s="11">
        <f>$BM94</f>
        <v>0</v>
      </c>
      <c r="I64" s="11">
        <f>$BM107</f>
        <v>0</v>
      </c>
      <c r="J64" s="11">
        <f>$BM120</f>
        <v>0</v>
      </c>
      <c r="K64" s="11">
        <f>$BM133</f>
        <v>0</v>
      </c>
      <c r="L64" s="74">
        <f>$BM146</f>
        <v>0</v>
      </c>
      <c r="M64" s="12"/>
      <c r="O64" s="116">
        <f t="shared" si="65"/>
        <v>0</v>
      </c>
      <c r="P64" s="78">
        <v>43709</v>
      </c>
      <c r="Q64" s="80"/>
      <c r="R64" s="80"/>
      <c r="S64" s="80"/>
      <c r="T64" s="80"/>
      <c r="U64" s="80"/>
      <c r="V64" s="86"/>
      <c r="W64" s="116">
        <f t="shared" si="66"/>
        <v>0</v>
      </c>
      <c r="X64" s="78">
        <v>43709</v>
      </c>
      <c r="Y64" s="104"/>
      <c r="Z64" s="105"/>
      <c r="AA64" s="104"/>
      <c r="AB64" s="105"/>
      <c r="AC64" s="110"/>
      <c r="AE64" s="116">
        <f t="shared" si="67"/>
        <v>0</v>
      </c>
      <c r="AF64" s="78">
        <v>43709</v>
      </c>
      <c r="AG64" s="104"/>
      <c r="AH64" s="105"/>
      <c r="AI64" s="104"/>
      <c r="AJ64" s="105"/>
      <c r="AK64" s="110"/>
      <c r="AM64" s="116">
        <f t="shared" si="68"/>
        <v>0</v>
      </c>
      <c r="AN64" s="78">
        <v>43709</v>
      </c>
      <c r="AO64" s="104"/>
      <c r="AP64" s="105"/>
      <c r="AQ64" s="104"/>
      <c r="AR64" s="105"/>
      <c r="AS64" s="110"/>
      <c r="AU64" s="116">
        <f t="shared" si="69"/>
        <v>0</v>
      </c>
      <c r="AV64" s="78">
        <v>43709</v>
      </c>
      <c r="AW64" s="104"/>
      <c r="AX64" s="105"/>
      <c r="AY64" s="104"/>
      <c r="AZ64" s="105"/>
      <c r="BA64" s="110"/>
      <c r="BC64" s="116">
        <f t="shared" si="70"/>
        <v>0</v>
      </c>
      <c r="BD64" s="78">
        <v>43709</v>
      </c>
      <c r="BE64" s="104"/>
      <c r="BF64" s="105"/>
      <c r="BG64" s="104"/>
      <c r="BH64" s="105"/>
      <c r="BI64" s="110"/>
      <c r="BK64" s="116">
        <f t="shared" si="71"/>
        <v>0</v>
      </c>
      <c r="BL64" s="78">
        <v>43709</v>
      </c>
      <c r="BM64" s="104"/>
      <c r="BN64" s="105"/>
      <c r="BO64" s="104"/>
      <c r="BP64" s="105"/>
      <c r="BQ64" s="110"/>
      <c r="BS64" s="116">
        <f t="shared" si="72"/>
        <v>0</v>
      </c>
      <c r="BT64" s="78">
        <v>43709</v>
      </c>
      <c r="BU64" s="104"/>
      <c r="BV64" s="105"/>
      <c r="BW64" s="104"/>
      <c r="BX64" s="105"/>
      <c r="BY64" s="110"/>
      <c r="CA64" s="116">
        <f t="shared" si="73"/>
        <v>0</v>
      </c>
      <c r="CB64" s="78">
        <v>43709</v>
      </c>
      <c r="CC64" s="104"/>
      <c r="CD64" s="105"/>
      <c r="CE64" s="104"/>
      <c r="CF64" s="105"/>
      <c r="CG64" s="110"/>
      <c r="CI64" s="116">
        <f t="shared" si="74"/>
        <v>0</v>
      </c>
      <c r="CJ64" s="78">
        <v>43709</v>
      </c>
      <c r="CK64" s="104"/>
      <c r="CL64" s="105"/>
      <c r="CM64" s="104"/>
      <c r="CN64" s="105"/>
      <c r="CO64" s="110"/>
      <c r="CQ64" s="116">
        <f t="shared" si="75"/>
        <v>7</v>
      </c>
      <c r="CR64" s="78">
        <v>43709</v>
      </c>
      <c r="CS64" s="3">
        <f>[6]IRR!AL56</f>
        <v>7119.7567446554722</v>
      </c>
      <c r="CT64" s="5">
        <f>CS64/(1+'[6]Assets to be Leased'!$B$9)</f>
        <v>6137.721331599545</v>
      </c>
      <c r="CU64" s="104"/>
      <c r="CV64" s="6">
        <f>[6]IRR!AO56</f>
        <v>734.92385854547672</v>
      </c>
      <c r="CW64" s="71">
        <f>[6]IRR!AP56/(1+'[6]Assets to be Leased'!$B$9)</f>
        <v>64579.739536957255</v>
      </c>
      <c r="CZ64" s="78">
        <v>43678</v>
      </c>
      <c r="DA64" s="142">
        <f>IF(DO63&gt;=DA63,0,U63*(1+'[6]Assets to be Leased'!$B$9))</f>
        <v>0</v>
      </c>
      <c r="DB64" s="143">
        <f>IF(DO63&gt;=DB63,0,AC63*(1+'[6]Assets to be Leased'!$B$9))</f>
        <v>0</v>
      </c>
      <c r="DC64" s="143">
        <f>IF(DO63&gt;=DC63,0,AK63*(1+'[6]Assets to be Leased'!$B$9))</f>
        <v>0</v>
      </c>
      <c r="DD64" s="144" t="str">
        <f>IF(AS63="","",AS63*(1+'[6]Assets to be Leased'!$B$9))</f>
        <v/>
      </c>
      <c r="DE64" s="144">
        <f>BA63*(1+'[6]Assets to be Leased'!$B$9)</f>
        <v>0</v>
      </c>
      <c r="DF64" s="144">
        <f>BI63*(1+'[6]Assets to be Leased'!$B$9)</f>
        <v>0</v>
      </c>
      <c r="DG64" s="144">
        <f>BQ63*(1+'[6]Assets to be Leased'!$B$9)</f>
        <v>0</v>
      </c>
      <c r="DH64" s="144">
        <f>BY63*(1+'[6]Assets to be Leased'!$B$9)</f>
        <v>0</v>
      </c>
      <c r="DI64" s="144">
        <f>CG63*(1+'[6]Assets to be Leased'!$B$9)</f>
        <v>0</v>
      </c>
      <c r="DJ64" s="144">
        <f>CO63*(1+'[6]Assets to be Leased'!$B$9)</f>
        <v>0</v>
      </c>
      <c r="DK64" s="176">
        <f>CW63*(1+'[6]Assets to be Leased'!$B$9)</f>
        <v>81297.330748980414</v>
      </c>
      <c r="DL64" s="176">
        <f t="shared" si="27"/>
        <v>81297.330748980414</v>
      </c>
      <c r="DM64" s="161">
        <f t="array" ref="DM64">IFERROR(SMALL(IF(DA64:DC64&gt;0,DA64:DC64),1),0)</f>
        <v>0</v>
      </c>
      <c r="DN64" s="78">
        <v>43678</v>
      </c>
      <c r="DO64" s="169">
        <f>IF(DS63+DR64&gt;DM64,HLOOKUP(DM64,DA64:$DL$82,1,FALSE),0)</f>
        <v>0</v>
      </c>
      <c r="DP64" s="213"/>
      <c r="DQ64" s="213"/>
      <c r="DR64" s="213"/>
      <c r="DS64" s="216"/>
    </row>
    <row r="65" spans="1:123">
      <c r="A65" s="1784"/>
      <c r="B65" s="23" t="s">
        <v>69</v>
      </c>
      <c r="C65" s="9">
        <f>$BN29</f>
        <v>0</v>
      </c>
      <c r="D65" s="9">
        <f>$BN42</f>
        <v>0</v>
      </c>
      <c r="E65" s="9">
        <f>$BN55</f>
        <v>0</v>
      </c>
      <c r="F65" s="9">
        <f>$BN68</f>
        <v>0</v>
      </c>
      <c r="G65" s="9">
        <f>$BN81</f>
        <v>0</v>
      </c>
      <c r="H65" s="9">
        <f>$BN94</f>
        <v>0</v>
      </c>
      <c r="I65" s="9">
        <f>$BN107</f>
        <v>0</v>
      </c>
      <c r="J65" s="9">
        <f>$BN120</f>
        <v>0</v>
      </c>
      <c r="K65" s="9">
        <f>$BN133</f>
        <v>0</v>
      </c>
      <c r="L65" s="22">
        <f>$BN146</f>
        <v>0</v>
      </c>
      <c r="M65" s="12"/>
      <c r="O65" s="116">
        <f t="shared" si="65"/>
        <v>0</v>
      </c>
      <c r="P65" s="78">
        <v>43739</v>
      </c>
      <c r="Q65" s="80"/>
      <c r="R65" s="80"/>
      <c r="S65" s="80"/>
      <c r="T65" s="80"/>
      <c r="U65" s="80"/>
      <c r="V65" s="86"/>
      <c r="W65" s="116">
        <f t="shared" si="66"/>
        <v>0</v>
      </c>
      <c r="X65" s="78">
        <v>43739</v>
      </c>
      <c r="Y65" s="104"/>
      <c r="Z65" s="105"/>
      <c r="AA65" s="104"/>
      <c r="AB65" s="105"/>
      <c r="AC65" s="110"/>
      <c r="AE65" s="116">
        <f t="shared" si="67"/>
        <v>0</v>
      </c>
      <c r="AF65" s="78">
        <v>43739</v>
      </c>
      <c r="AG65" s="104"/>
      <c r="AH65" s="105"/>
      <c r="AI65" s="104"/>
      <c r="AJ65" s="105"/>
      <c r="AK65" s="110"/>
      <c r="AM65" s="116">
        <f t="shared" si="68"/>
        <v>0</v>
      </c>
      <c r="AN65" s="78">
        <v>43739</v>
      </c>
      <c r="AO65" s="104"/>
      <c r="AP65" s="105"/>
      <c r="AQ65" s="104"/>
      <c r="AR65" s="105"/>
      <c r="AS65" s="110"/>
      <c r="AU65" s="116">
        <f t="shared" si="69"/>
        <v>0</v>
      </c>
      <c r="AV65" s="78">
        <v>43739</v>
      </c>
      <c r="AW65" s="104"/>
      <c r="AX65" s="105"/>
      <c r="AY65" s="104"/>
      <c r="AZ65" s="105"/>
      <c r="BA65" s="110"/>
      <c r="BC65" s="116">
        <f t="shared" si="70"/>
        <v>0</v>
      </c>
      <c r="BD65" s="78">
        <v>43739</v>
      </c>
      <c r="BE65" s="104"/>
      <c r="BF65" s="105"/>
      <c r="BG65" s="104"/>
      <c r="BH65" s="105"/>
      <c r="BI65" s="110"/>
      <c r="BK65" s="116">
        <f t="shared" si="71"/>
        <v>0</v>
      </c>
      <c r="BL65" s="78">
        <v>43739</v>
      </c>
      <c r="BM65" s="104"/>
      <c r="BN65" s="105"/>
      <c r="BO65" s="104"/>
      <c r="BP65" s="105"/>
      <c r="BQ65" s="110"/>
      <c r="BS65" s="116">
        <f t="shared" si="72"/>
        <v>0</v>
      </c>
      <c r="BT65" s="78">
        <v>43739</v>
      </c>
      <c r="BU65" s="104"/>
      <c r="BV65" s="105"/>
      <c r="BW65" s="104"/>
      <c r="BX65" s="105"/>
      <c r="BY65" s="110"/>
      <c r="CA65" s="116">
        <f t="shared" si="73"/>
        <v>0</v>
      </c>
      <c r="CB65" s="78">
        <v>43739</v>
      </c>
      <c r="CC65" s="104"/>
      <c r="CD65" s="105"/>
      <c r="CE65" s="104"/>
      <c r="CF65" s="105"/>
      <c r="CG65" s="110"/>
      <c r="CI65" s="116">
        <f t="shared" si="74"/>
        <v>0</v>
      </c>
      <c r="CJ65" s="78">
        <v>43739</v>
      </c>
      <c r="CK65" s="104"/>
      <c r="CL65" s="105"/>
      <c r="CM65" s="104"/>
      <c r="CN65" s="105"/>
      <c r="CO65" s="110"/>
      <c r="CQ65" s="116">
        <f t="shared" si="75"/>
        <v>8</v>
      </c>
      <c r="CR65" s="78">
        <v>43739</v>
      </c>
      <c r="CS65" s="3">
        <f>[6]IRR!AL57</f>
        <v>7119.7567446554722</v>
      </c>
      <c r="CT65" s="5">
        <f>CS65/(1+'[6]Assets to be Leased'!$B$9)</f>
        <v>6137.721331599545</v>
      </c>
      <c r="CU65" s="104"/>
      <c r="CV65" s="6">
        <f>[6]IRR!AO57</f>
        <v>677.2052842995829</v>
      </c>
      <c r="CW65" s="71">
        <f>[6]IRR!AP57/(1+'[6]Assets to be Leased'!$B$9)</f>
        <v>59025.815864236669</v>
      </c>
      <c r="CZ65" s="78">
        <v>43709</v>
      </c>
      <c r="DA65" s="142">
        <f>IF(DO64&gt;=DA64,0,U64*(1+'[6]Assets to be Leased'!$B$9))</f>
        <v>0</v>
      </c>
      <c r="DB65" s="143">
        <f>IF(DO64&gt;=DB64,0,AC64*(1+'[6]Assets to be Leased'!$B$9))</f>
        <v>0</v>
      </c>
      <c r="DC65" s="143">
        <f>IF(DO64&gt;=DC64,0,AK64*(1+'[6]Assets to be Leased'!$B$9))</f>
        <v>0</v>
      </c>
      <c r="DD65" s="144" t="str">
        <f>IF(AS64="","",AS64*(1+'[6]Assets to be Leased'!$B$9))</f>
        <v/>
      </c>
      <c r="DE65" s="144">
        <f>BA64*(1+'[6]Assets to be Leased'!$B$9)</f>
        <v>0</v>
      </c>
      <c r="DF65" s="144">
        <f>BI64*(1+'[6]Assets to be Leased'!$B$9)</f>
        <v>0</v>
      </c>
      <c r="DG65" s="144">
        <f>BQ64*(1+'[6]Assets to be Leased'!$B$9)</f>
        <v>0</v>
      </c>
      <c r="DH65" s="144">
        <f>BY64*(1+'[6]Assets to be Leased'!$B$9)</f>
        <v>0</v>
      </c>
      <c r="DI65" s="144">
        <f>CG64*(1+'[6]Assets to be Leased'!$B$9)</f>
        <v>0</v>
      </c>
      <c r="DJ65" s="144">
        <f>CO64*(1+'[6]Assets to be Leased'!$B$9)</f>
        <v>0</v>
      </c>
      <c r="DK65" s="176">
        <f>CW64*(1+'[6]Assets to be Leased'!$B$9)</f>
        <v>74912.497862870412</v>
      </c>
      <c r="DL65" s="176">
        <f t="shared" si="27"/>
        <v>74912.497862870412</v>
      </c>
      <c r="DM65" s="161">
        <f t="array" ref="DM65">IFERROR(SMALL(IF(DA65:DC65&gt;0,DA65:DC65),1),0)</f>
        <v>0</v>
      </c>
      <c r="DN65" s="78">
        <v>43709</v>
      </c>
      <c r="DO65" s="169">
        <f>IF(DS64+DR65&gt;DM65,HLOOKUP(DM65,DA65:$DL$82,1,FALSE),0)</f>
        <v>0</v>
      </c>
      <c r="DP65" s="219"/>
      <c r="DQ65" s="219"/>
      <c r="DR65" s="219"/>
      <c r="DS65" s="220"/>
    </row>
    <row r="66" spans="1:123">
      <c r="A66" s="1784"/>
      <c r="B66" s="23" t="s">
        <v>68</v>
      </c>
      <c r="C66" s="9">
        <f>C64-C65</f>
        <v>0</v>
      </c>
      <c r="D66" s="9">
        <f>D64-D65</f>
        <v>0</v>
      </c>
      <c r="E66" s="9">
        <f>E64-E65</f>
        <v>0</v>
      </c>
      <c r="F66" s="9">
        <f t="shared" ref="F66:L66" si="77">F64-F65</f>
        <v>0</v>
      </c>
      <c r="G66" s="9">
        <f t="shared" si="77"/>
        <v>0</v>
      </c>
      <c r="H66" s="9">
        <f t="shared" si="77"/>
        <v>0</v>
      </c>
      <c r="I66" s="9">
        <f t="shared" si="77"/>
        <v>0</v>
      </c>
      <c r="J66" s="9">
        <f t="shared" si="77"/>
        <v>0</v>
      </c>
      <c r="K66" s="9">
        <f t="shared" si="77"/>
        <v>0</v>
      </c>
      <c r="L66" s="22">
        <f t="shared" si="77"/>
        <v>0</v>
      </c>
      <c r="M66" s="12"/>
      <c r="O66" s="116">
        <f t="shared" si="65"/>
        <v>0</v>
      </c>
      <c r="P66" s="78">
        <v>43770</v>
      </c>
      <c r="Q66" s="80"/>
      <c r="R66" s="80"/>
      <c r="S66" s="80"/>
      <c r="T66" s="80"/>
      <c r="U66" s="80"/>
      <c r="V66" s="86"/>
      <c r="W66" s="116">
        <f t="shared" si="66"/>
        <v>0</v>
      </c>
      <c r="X66" s="78">
        <v>43770</v>
      </c>
      <c r="Y66" s="112"/>
      <c r="Z66" s="112"/>
      <c r="AA66" s="112"/>
      <c r="AB66" s="112"/>
      <c r="AC66" s="112"/>
      <c r="AE66" s="116">
        <f t="shared" si="67"/>
        <v>0</v>
      </c>
      <c r="AF66" s="78">
        <v>43770</v>
      </c>
      <c r="AG66" s="112"/>
      <c r="AH66" s="112"/>
      <c r="AI66" s="112"/>
      <c r="AJ66" s="112"/>
      <c r="AK66" s="112"/>
      <c r="AM66" s="116">
        <f t="shared" si="68"/>
        <v>0</v>
      </c>
      <c r="AN66" s="78">
        <v>43770</v>
      </c>
      <c r="AO66" s="112"/>
      <c r="AP66" s="112"/>
      <c r="AQ66" s="112"/>
      <c r="AR66" s="112"/>
      <c r="AS66" s="112"/>
      <c r="AU66" s="116">
        <f t="shared" si="69"/>
        <v>0</v>
      </c>
      <c r="AV66" s="78">
        <v>43770</v>
      </c>
      <c r="AW66" s="112"/>
      <c r="AX66" s="112"/>
      <c r="AY66" s="112"/>
      <c r="AZ66" s="112"/>
      <c r="BA66" s="112"/>
      <c r="BC66" s="116">
        <f t="shared" si="70"/>
        <v>0</v>
      </c>
      <c r="BD66" s="78">
        <v>43770</v>
      </c>
      <c r="BE66" s="112"/>
      <c r="BF66" s="112"/>
      <c r="BG66" s="112"/>
      <c r="BH66" s="112"/>
      <c r="BI66" s="112"/>
      <c r="BK66" s="116">
        <f t="shared" si="71"/>
        <v>0</v>
      </c>
      <c r="BL66" s="78">
        <v>43770</v>
      </c>
      <c r="BM66" s="112"/>
      <c r="BN66" s="112"/>
      <c r="BO66" s="112"/>
      <c r="BP66" s="112"/>
      <c r="BQ66" s="112"/>
      <c r="BS66" s="116">
        <f t="shared" si="72"/>
        <v>0</v>
      </c>
      <c r="BT66" s="78">
        <v>43770</v>
      </c>
      <c r="BU66" s="112"/>
      <c r="BV66" s="112"/>
      <c r="BW66" s="112"/>
      <c r="BX66" s="112"/>
      <c r="BY66" s="112"/>
      <c r="CA66" s="116">
        <f t="shared" si="73"/>
        <v>0</v>
      </c>
      <c r="CB66" s="78">
        <v>43770</v>
      </c>
      <c r="CC66" s="112"/>
      <c r="CD66" s="112"/>
      <c r="CE66" s="112"/>
      <c r="CF66" s="112"/>
      <c r="CG66" s="112"/>
      <c r="CI66" s="116">
        <f t="shared" si="74"/>
        <v>0</v>
      </c>
      <c r="CJ66" s="78">
        <v>43770</v>
      </c>
      <c r="CK66" s="112"/>
      <c r="CL66" s="112"/>
      <c r="CM66" s="112"/>
      <c r="CN66" s="112"/>
      <c r="CO66" s="112"/>
      <c r="CQ66" s="116">
        <f t="shared" si="75"/>
        <v>9</v>
      </c>
      <c r="CR66" s="78">
        <v>43770</v>
      </c>
      <c r="CS66" s="3">
        <f>[6]IRR!AL58</f>
        <v>7119.7567446554722</v>
      </c>
      <c r="CT66" s="5">
        <f>CS66/(1+'[6]Assets to be Leased'!$B$9)</f>
        <v>6137.721331599545</v>
      </c>
      <c r="CU66" s="112"/>
      <c r="CV66" s="6">
        <f>[6]IRR!AO58</f>
        <v>618.96493699049336</v>
      </c>
      <c r="CW66" s="71">
        <f>[6]IRR!AP58/(1+'[6]Assets to be Leased'!$B$9)</f>
        <v>53421.684995559961</v>
      </c>
      <c r="CZ66" s="78">
        <v>43739</v>
      </c>
      <c r="DA66" s="142">
        <f>IF(DO65&gt;=DA65,0,U65*(1+'[6]Assets to be Leased'!$B$9))</f>
        <v>0</v>
      </c>
      <c r="DB66" s="143">
        <f>IF(DO65&gt;=DB65,0,AC65*(1+'[6]Assets to be Leased'!$B$9))</f>
        <v>0</v>
      </c>
      <c r="DC66" s="143">
        <f>IF(DO65&gt;=DC65,0,AK65*(1+'[6]Assets to be Leased'!$B$9))</f>
        <v>0</v>
      </c>
      <c r="DD66" s="144" t="str">
        <f>IF(AS65="","",AS65*(1+'[6]Assets to be Leased'!$B$9))</f>
        <v/>
      </c>
      <c r="DE66" s="144">
        <f>BA65*(1+'[6]Assets to be Leased'!$B$9)</f>
        <v>0</v>
      </c>
      <c r="DF66" s="144">
        <f>BI65*(1+'[6]Assets to be Leased'!$B$9)</f>
        <v>0</v>
      </c>
      <c r="DG66" s="144">
        <f>BQ65*(1+'[6]Assets to be Leased'!$B$9)</f>
        <v>0</v>
      </c>
      <c r="DH66" s="144">
        <f>BY65*(1+'[6]Assets to be Leased'!$B$9)</f>
        <v>0</v>
      </c>
      <c r="DI66" s="144">
        <f>CG65*(1+'[6]Assets to be Leased'!$B$9)</f>
        <v>0</v>
      </c>
      <c r="DJ66" s="144">
        <f>CO65*(1+'[6]Assets to be Leased'!$B$9)</f>
        <v>0</v>
      </c>
      <c r="DK66" s="176">
        <f>CW65*(1+'[6]Assets to be Leased'!$B$9)</f>
        <v>68469.946402514528</v>
      </c>
      <c r="DL66" s="176">
        <f t="shared" si="27"/>
        <v>68469.946402514528</v>
      </c>
      <c r="DM66" s="161">
        <f t="array" ref="DM66">IFERROR(SMALL(IF(DA66:DC66&gt;0,DA66:DC66),1),0)</f>
        <v>0</v>
      </c>
      <c r="DN66" s="78">
        <v>43739</v>
      </c>
      <c r="DO66" s="169">
        <f>IF(DS65+DR66&gt;DM66,HLOOKUP(DM66,DA66:$DL$82,1,FALSE),0)</f>
        <v>0</v>
      </c>
      <c r="DP66" s="219"/>
      <c r="DQ66" s="219"/>
      <c r="DR66" s="219"/>
      <c r="DS66" s="220"/>
    </row>
    <row r="67" spans="1:123">
      <c r="A67" s="1784"/>
      <c r="B67" s="23" t="s">
        <v>54</v>
      </c>
      <c r="C67" s="63">
        <f>$BP29</f>
        <v>0</v>
      </c>
      <c r="D67" s="8">
        <f>$BP42</f>
        <v>0</v>
      </c>
      <c r="E67" s="8">
        <f>$BP55</f>
        <v>0</v>
      </c>
      <c r="F67" s="8">
        <f>$BP68</f>
        <v>0</v>
      </c>
      <c r="G67" s="8">
        <f>$BP81</f>
        <v>0</v>
      </c>
      <c r="H67" s="8">
        <f>$BP94</f>
        <v>0</v>
      </c>
      <c r="I67" s="8">
        <f>$BP107</f>
        <v>0</v>
      </c>
      <c r="J67" s="8">
        <f>$BP120</f>
        <v>0</v>
      </c>
      <c r="K67" s="8">
        <f>$BP133</f>
        <v>0</v>
      </c>
      <c r="L67" s="62">
        <f>$BP146</f>
        <v>0</v>
      </c>
      <c r="M67" s="12"/>
      <c r="O67" s="116">
        <f t="shared" si="65"/>
        <v>0</v>
      </c>
      <c r="P67" s="83">
        <v>43800</v>
      </c>
      <c r="Q67" s="84"/>
      <c r="R67" s="84"/>
      <c r="S67" s="84"/>
      <c r="T67" s="84"/>
      <c r="U67" s="84"/>
      <c r="V67" s="86"/>
      <c r="W67" s="116">
        <f t="shared" si="66"/>
        <v>0</v>
      </c>
      <c r="X67" s="83">
        <v>43800</v>
      </c>
      <c r="Y67" s="113"/>
      <c r="Z67" s="113"/>
      <c r="AA67" s="113"/>
      <c r="AB67" s="113"/>
      <c r="AC67" s="113"/>
      <c r="AE67" s="116">
        <f t="shared" si="67"/>
        <v>0</v>
      </c>
      <c r="AF67" s="83">
        <v>43800</v>
      </c>
      <c r="AG67" s="113"/>
      <c r="AH67" s="113"/>
      <c r="AI67" s="113"/>
      <c r="AJ67" s="113"/>
      <c r="AK67" s="113"/>
      <c r="AM67" s="116">
        <f t="shared" si="68"/>
        <v>0</v>
      </c>
      <c r="AN67" s="83">
        <v>43800</v>
      </c>
      <c r="AO67" s="113"/>
      <c r="AP67" s="113"/>
      <c r="AQ67" s="113"/>
      <c r="AR67" s="113"/>
      <c r="AS67" s="113"/>
      <c r="AU67" s="116">
        <f t="shared" si="69"/>
        <v>0</v>
      </c>
      <c r="AV67" s="83">
        <v>43800</v>
      </c>
      <c r="AW67" s="113"/>
      <c r="AX67" s="113"/>
      <c r="AY67" s="113"/>
      <c r="AZ67" s="113"/>
      <c r="BA67" s="113"/>
      <c r="BC67" s="116">
        <f t="shared" si="70"/>
        <v>0</v>
      </c>
      <c r="BD67" s="83">
        <v>43800</v>
      </c>
      <c r="BE67" s="113"/>
      <c r="BF67" s="113"/>
      <c r="BG67" s="113"/>
      <c r="BH67" s="113"/>
      <c r="BI67" s="113"/>
      <c r="BK67" s="116">
        <f t="shared" si="71"/>
        <v>0</v>
      </c>
      <c r="BL67" s="83">
        <v>43800</v>
      </c>
      <c r="BM67" s="113"/>
      <c r="BN67" s="113"/>
      <c r="BO67" s="113"/>
      <c r="BP67" s="113"/>
      <c r="BQ67" s="113"/>
      <c r="BS67" s="116">
        <f t="shared" si="72"/>
        <v>0</v>
      </c>
      <c r="BT67" s="83">
        <v>43800</v>
      </c>
      <c r="BU67" s="113"/>
      <c r="BV67" s="113"/>
      <c r="BW67" s="113"/>
      <c r="BX67" s="113"/>
      <c r="BY67" s="113"/>
      <c r="CA67" s="116">
        <f t="shared" si="73"/>
        <v>0</v>
      </c>
      <c r="CB67" s="83">
        <v>43800</v>
      </c>
      <c r="CC67" s="113"/>
      <c r="CD67" s="113"/>
      <c r="CE67" s="113"/>
      <c r="CF67" s="113"/>
      <c r="CG67" s="113"/>
      <c r="CI67" s="116">
        <f t="shared" si="74"/>
        <v>0</v>
      </c>
      <c r="CJ67" s="83">
        <v>43800</v>
      </c>
      <c r="CK67" s="113"/>
      <c r="CL67" s="113"/>
      <c r="CM67" s="113"/>
      <c r="CN67" s="113"/>
      <c r="CO67" s="113"/>
      <c r="CQ67" s="116">
        <f t="shared" si="75"/>
        <v>0</v>
      </c>
      <c r="CR67" s="83">
        <v>43800</v>
      </c>
      <c r="CS67" s="3">
        <f>[6]IRR!AL59</f>
        <v>0</v>
      </c>
      <c r="CT67" s="5">
        <f>CS67/(1+'[6]Assets to be Leased'!$B$9)</f>
        <v>0</v>
      </c>
      <c r="CU67" s="113"/>
      <c r="CV67" s="6">
        <f>[6]IRR!AO59</f>
        <v>560.19809981546234</v>
      </c>
      <c r="CW67" s="71">
        <f>[6]IRR!AP59/(1+'[6]Assets to be Leased'!$B$9)</f>
        <v>53904.6143919526</v>
      </c>
      <c r="CZ67" s="78">
        <v>43770</v>
      </c>
      <c r="DA67" s="142">
        <f>IF(DO66&gt;=DA66,0,U66*(1+'[6]Assets to be Leased'!$B$9))</f>
        <v>0</v>
      </c>
      <c r="DB67" s="143">
        <f>IF(DO66&gt;=DB66,0,AC66*(1+'[6]Assets to be Leased'!$B$9))</f>
        <v>0</v>
      </c>
      <c r="DC67" s="143">
        <f>IF(DO66&gt;=DC66,0,AK66*(1+'[6]Assets to be Leased'!$B$9))</f>
        <v>0</v>
      </c>
      <c r="DD67" s="144" t="str">
        <f>IF(AS66="","",AS66*(1+'[6]Assets to be Leased'!$B$9))</f>
        <v/>
      </c>
      <c r="DE67" s="144">
        <f>BA66*(1+'[6]Assets to be Leased'!$B$9)</f>
        <v>0</v>
      </c>
      <c r="DF67" s="144">
        <f>BI66*(1+'[6]Assets to be Leased'!$B$9)</f>
        <v>0</v>
      </c>
      <c r="DG67" s="144">
        <f>BQ66*(1+'[6]Assets to be Leased'!$B$9)</f>
        <v>0</v>
      </c>
      <c r="DH67" s="144">
        <f>BY66*(1+'[6]Assets to be Leased'!$B$9)</f>
        <v>0</v>
      </c>
      <c r="DI67" s="144">
        <f>CG66*(1+'[6]Assets to be Leased'!$B$9)</f>
        <v>0</v>
      </c>
      <c r="DJ67" s="144">
        <f>CO66*(1+'[6]Assets to be Leased'!$B$9)</f>
        <v>0</v>
      </c>
      <c r="DK67" s="176">
        <f>CW66*(1+'[6]Assets to be Leased'!$B$9)</f>
        <v>61969.154594849548</v>
      </c>
      <c r="DL67" s="176">
        <f t="shared" si="27"/>
        <v>61969.154594849548</v>
      </c>
      <c r="DM67" s="161">
        <f t="array" ref="DM67">IFERROR(SMALL(IF(DA67:DC67&gt;0,DA67:DC67),1),0)</f>
        <v>0</v>
      </c>
      <c r="DN67" s="78">
        <v>43770</v>
      </c>
      <c r="DO67" s="169">
        <f>IF(DS66+DR67&gt;DM67,HLOOKUP(DM67,DA67:$DL$82,1,FALSE),0)</f>
        <v>0</v>
      </c>
      <c r="DP67" s="221"/>
      <c r="DQ67" s="221"/>
      <c r="DR67" s="221"/>
      <c r="DS67" s="222"/>
    </row>
    <row r="68" spans="1:123">
      <c r="A68" s="1784"/>
      <c r="B68" s="23" t="s">
        <v>63</v>
      </c>
      <c r="C68" s="8">
        <f>$BO42</f>
        <v>0</v>
      </c>
      <c r="D68" s="8">
        <f>$BO55</f>
        <v>0</v>
      </c>
      <c r="E68" s="8">
        <f>$BO68</f>
        <v>0</v>
      </c>
      <c r="F68" s="8">
        <f>$BO81</f>
        <v>0</v>
      </c>
      <c r="G68" s="8">
        <f>$BO94</f>
        <v>0</v>
      </c>
      <c r="H68" s="8">
        <f>$BO107</f>
        <v>0</v>
      </c>
      <c r="I68" s="8">
        <f>$BO120</f>
        <v>0</v>
      </c>
      <c r="J68" s="8">
        <f>$BO133</f>
        <v>0</v>
      </c>
      <c r="K68" s="8">
        <f>$BO146</f>
        <v>0</v>
      </c>
      <c r="L68" s="62"/>
      <c r="M68" s="12"/>
      <c r="O68" s="138" t="s">
        <v>20</v>
      </c>
      <c r="P68" s="87">
        <f>P55+1</f>
        <v>2019</v>
      </c>
      <c r="Q68" s="94">
        <f>SUM(Q56:Q67)</f>
        <v>0</v>
      </c>
      <c r="R68" s="94">
        <f>SUM(R56:R67)</f>
        <v>0</v>
      </c>
      <c r="S68" s="94">
        <f>SUM(S56:S67)</f>
        <v>0</v>
      </c>
      <c r="T68" s="94">
        <f>SUM(T56:T67)</f>
        <v>0</v>
      </c>
      <c r="U68" s="94">
        <f>U67</f>
        <v>0</v>
      </c>
      <c r="V68" s="101"/>
      <c r="W68" s="138" t="s">
        <v>20</v>
      </c>
      <c r="X68" s="87">
        <f>X55+1</f>
        <v>2019</v>
      </c>
      <c r="Y68" s="107">
        <f>SUM(Y56:Y67)</f>
        <v>0</v>
      </c>
      <c r="Z68" s="107">
        <f>SUM(Z56:Z67)</f>
        <v>0</v>
      </c>
      <c r="AA68" s="107">
        <f>SUM(AA56:AA67)</f>
        <v>0</v>
      </c>
      <c r="AB68" s="107">
        <f>SUM(AB56:AB67)</f>
        <v>0</v>
      </c>
      <c r="AC68" s="107">
        <f>AC67</f>
        <v>0</v>
      </c>
      <c r="AE68" s="138" t="s">
        <v>20</v>
      </c>
      <c r="AF68" s="87">
        <f>AF55+1</f>
        <v>2019</v>
      </c>
      <c r="AG68" s="107">
        <f>SUM(AG56:AG67)</f>
        <v>0</v>
      </c>
      <c r="AH68" s="107">
        <f>SUM(AH56:AH67)</f>
        <v>0</v>
      </c>
      <c r="AI68" s="107">
        <f>SUM(AI56:AI67)</f>
        <v>0</v>
      </c>
      <c r="AJ68" s="107">
        <f>SUM(AJ56:AJ67)</f>
        <v>0</v>
      </c>
      <c r="AK68" s="107">
        <f>AK67</f>
        <v>0</v>
      </c>
      <c r="AM68" s="138" t="s">
        <v>20</v>
      </c>
      <c r="AN68" s="87">
        <f>AN55+1</f>
        <v>2019</v>
      </c>
      <c r="AO68" s="107">
        <f>SUM(AO56:AO67)</f>
        <v>0</v>
      </c>
      <c r="AP68" s="107">
        <f>SUM(AP56:AP67)</f>
        <v>0</v>
      </c>
      <c r="AQ68" s="107">
        <f>SUM(AQ56:AQ67)</f>
        <v>0</v>
      </c>
      <c r="AR68" s="107">
        <f>SUM(AR56:AR67)</f>
        <v>0</v>
      </c>
      <c r="AS68" s="107">
        <f>AS67</f>
        <v>0</v>
      </c>
      <c r="AU68" s="138" t="s">
        <v>20</v>
      </c>
      <c r="AV68" s="87">
        <f>AV55+1</f>
        <v>2019</v>
      </c>
      <c r="AW68" s="107">
        <f>SUM(AW56:AW67)</f>
        <v>0</v>
      </c>
      <c r="AX68" s="107">
        <f>SUM(AX56:AX67)</f>
        <v>0</v>
      </c>
      <c r="AY68" s="107">
        <f>SUM(AY56:AY67)</f>
        <v>0</v>
      </c>
      <c r="AZ68" s="107">
        <f>SUM(AZ56:AZ67)</f>
        <v>0</v>
      </c>
      <c r="BA68" s="107">
        <f>BA67</f>
        <v>0</v>
      </c>
      <c r="BC68" s="138" t="s">
        <v>20</v>
      </c>
      <c r="BD68" s="87">
        <f>BD55+1</f>
        <v>2019</v>
      </c>
      <c r="BE68" s="107">
        <f>SUM(BE56:BE67)</f>
        <v>0</v>
      </c>
      <c r="BF68" s="107">
        <f>SUM(BF56:BF67)</f>
        <v>0</v>
      </c>
      <c r="BG68" s="107">
        <f>SUM(BG56:BG67)</f>
        <v>0</v>
      </c>
      <c r="BH68" s="107">
        <f>SUM(BH56:BH67)</f>
        <v>0</v>
      </c>
      <c r="BI68" s="107">
        <f>BI67</f>
        <v>0</v>
      </c>
      <c r="BK68" s="138" t="s">
        <v>20</v>
      </c>
      <c r="BL68" s="87">
        <f>BL55+1</f>
        <v>2019</v>
      </c>
      <c r="BM68" s="107">
        <f>SUM(BM56:BM67)</f>
        <v>0</v>
      </c>
      <c r="BN68" s="107">
        <f>SUM(BN56:BN67)</f>
        <v>0</v>
      </c>
      <c r="BO68" s="107">
        <f>SUM(BO56:BO67)</f>
        <v>0</v>
      </c>
      <c r="BP68" s="107">
        <f>SUM(BP56:BP67)</f>
        <v>0</v>
      </c>
      <c r="BQ68" s="107">
        <f>BQ67</f>
        <v>0</v>
      </c>
      <c r="BS68" s="138" t="s">
        <v>20</v>
      </c>
      <c r="BT68" s="87">
        <f>BT55+1</f>
        <v>2019</v>
      </c>
      <c r="BU68" s="107">
        <f>SUM(BU56:BU67)</f>
        <v>0</v>
      </c>
      <c r="BV68" s="107">
        <f>SUM(BV56:BV67)</f>
        <v>0</v>
      </c>
      <c r="BW68" s="107">
        <f>SUM(BW56:BW67)</f>
        <v>0</v>
      </c>
      <c r="BX68" s="107">
        <f>SUM(BX56:BX67)</f>
        <v>0</v>
      </c>
      <c r="BY68" s="107">
        <f>BY67</f>
        <v>0</v>
      </c>
      <c r="CA68" s="138" t="s">
        <v>20</v>
      </c>
      <c r="CB68" s="87">
        <f>CB55+1</f>
        <v>2019</v>
      </c>
      <c r="CC68" s="107">
        <f>SUM(CC56:CC67)</f>
        <v>0</v>
      </c>
      <c r="CD68" s="107">
        <f>SUM(CD56:CD67)</f>
        <v>0</v>
      </c>
      <c r="CE68" s="107">
        <f>SUM(CE56:CE67)</f>
        <v>0</v>
      </c>
      <c r="CF68" s="107">
        <f>SUM(CF56:CF67)</f>
        <v>0</v>
      </c>
      <c r="CG68" s="107">
        <f>CG67</f>
        <v>0</v>
      </c>
      <c r="CI68" s="138" t="s">
        <v>20</v>
      </c>
      <c r="CJ68" s="87">
        <f>CJ55+1</f>
        <v>2019</v>
      </c>
      <c r="CK68" s="107">
        <f>SUM(CK56:CK67)</f>
        <v>0</v>
      </c>
      <c r="CL68" s="107">
        <f>SUM(CL56:CL67)</f>
        <v>0</v>
      </c>
      <c r="CM68" s="107">
        <f>SUM(CM56:CM67)</f>
        <v>0</v>
      </c>
      <c r="CN68" s="107">
        <f>SUM(CN56:CN67)</f>
        <v>0</v>
      </c>
      <c r="CO68" s="107">
        <f>CO67</f>
        <v>0</v>
      </c>
      <c r="CQ68" s="138" t="s">
        <v>20</v>
      </c>
      <c r="CR68" s="87">
        <f>CR55+1</f>
        <v>2019</v>
      </c>
      <c r="CS68" s="107">
        <f>SUM(CS56:CS67)</f>
        <v>64077.81070189926</v>
      </c>
      <c r="CT68" s="107">
        <f>SUM(CT56:CT67)</f>
        <v>55239.491984395914</v>
      </c>
      <c r="CU68" s="107">
        <f>SUM(CU56:CU67)</f>
        <v>0</v>
      </c>
      <c r="CV68" s="107">
        <f>SUM(CV56:CV67)</f>
        <v>10296.676938183844</v>
      </c>
      <c r="CW68" s="107">
        <f>CW67</f>
        <v>53904.6143919526</v>
      </c>
      <c r="CZ68" s="83">
        <v>43800</v>
      </c>
      <c r="DA68" s="142">
        <f>IF(DO67&gt;=DA67,0,U67*(1+'[6]Assets to be Leased'!$B$9))</f>
        <v>0</v>
      </c>
      <c r="DB68" s="143">
        <f>IF(DO67&gt;=DB67,0,AC67*(1+'[6]Assets to be Leased'!$B$9))</f>
        <v>0</v>
      </c>
      <c r="DC68" s="143">
        <f>IF(DO67&gt;=DC67,0,AK67*(1+'[6]Assets to be Leased'!$B$9))</f>
        <v>0</v>
      </c>
      <c r="DD68" s="144" t="str">
        <f>IF(AS67="","",AS67*(1+'[6]Assets to be Leased'!$B$9))</f>
        <v/>
      </c>
      <c r="DE68" s="144">
        <f>BA67*(1+'[6]Assets to be Leased'!$B$9)</f>
        <v>0</v>
      </c>
      <c r="DF68" s="144">
        <f>BI67*(1+'[6]Assets to be Leased'!$B$9)</f>
        <v>0</v>
      </c>
      <c r="DG68" s="144">
        <f>BQ67*(1+'[6]Assets to be Leased'!$B$9)</f>
        <v>0</v>
      </c>
      <c r="DH68" s="144">
        <f>BY67*(1+'[6]Assets to be Leased'!$B$9)</f>
        <v>0</v>
      </c>
      <c r="DI68" s="144">
        <f>CG67*(1+'[6]Assets to be Leased'!$B$9)</f>
        <v>0</v>
      </c>
      <c r="DJ68" s="144">
        <f>CO67*(1+'[6]Assets to be Leased'!$B$9)</f>
        <v>0</v>
      </c>
      <c r="DK68" s="176">
        <f>CW67*(1+'[6]Assets to be Leased'!$B$9)</f>
        <v>62529.352694665009</v>
      </c>
      <c r="DL68" s="176">
        <f t="shared" si="27"/>
        <v>62529.352694665009</v>
      </c>
      <c r="DM68" s="161">
        <f t="array" ref="DM68">IFERROR(SMALL(IF(DA68:DC68&gt;0,DA68:DC68),1),0)</f>
        <v>0</v>
      </c>
      <c r="DN68" s="83">
        <v>43800</v>
      </c>
      <c r="DO68" s="169">
        <f>IF(DS67+DR68&gt;DM68,HLOOKUP(DM68,DA68:$DL$82,1,FALSE),0)</f>
        <v>0</v>
      </c>
      <c r="DP68" s="221"/>
      <c r="DQ68" s="221"/>
      <c r="DR68" s="221"/>
      <c r="DS68" s="222"/>
    </row>
    <row r="69" spans="1:123">
      <c r="A69" s="1785"/>
      <c r="B69" s="64" t="s">
        <v>64</v>
      </c>
      <c r="C69" s="61">
        <f>IF(BQ29-C68&lt;0,0,BQ29-C68)</f>
        <v>0</v>
      </c>
      <c r="D69" s="61">
        <f>IF(BQ42-D68&lt;0,0,BQ42-D68)</f>
        <v>0</v>
      </c>
      <c r="E69" s="61">
        <f>IF(BQ55-E68&lt;0,0,BQ55-E68)</f>
        <v>0</v>
      </c>
      <c r="F69" s="61">
        <f>IF(BQ68-F68&lt;0,0,BQ68-F68)</f>
        <v>0</v>
      </c>
      <c r="G69" s="61">
        <f>IF(BQ81-G68&lt;0,0,BQ81-G68)</f>
        <v>0</v>
      </c>
      <c r="H69" s="61">
        <f>IF(BQ94-H68&lt;0,0,BQ94-H68)</f>
        <v>0</v>
      </c>
      <c r="I69" s="61">
        <f>IF(BQ107-I68&lt;0,0,BQ107-I68)</f>
        <v>0</v>
      </c>
      <c r="J69" s="61">
        <f>IF(BQ120-J68&lt;0,0,BQ120-J68)</f>
        <v>0</v>
      </c>
      <c r="K69" s="61">
        <f>IF(BQ133-K68&lt;0,0,BQ133-K68)</f>
        <v>0</v>
      </c>
      <c r="L69" s="65">
        <f>IF(BQ146-L68&lt;0,0,BQ146-L68)</f>
        <v>0</v>
      </c>
      <c r="M69" s="12"/>
      <c r="O69" s="116">
        <f>IF(AND(Q69&gt;0,O67&gt;=0),O67+1,0)</f>
        <v>0</v>
      </c>
      <c r="P69" s="77">
        <v>43831</v>
      </c>
      <c r="Q69" s="82"/>
      <c r="R69" s="82"/>
      <c r="S69" s="82"/>
      <c r="T69" s="82"/>
      <c r="U69" s="82"/>
      <c r="V69" s="86"/>
      <c r="W69" s="116">
        <f>IF(AND(Y69&gt;0,W67&gt;=0),W67+1,0)</f>
        <v>0</v>
      </c>
      <c r="X69" s="77">
        <v>43831</v>
      </c>
      <c r="Y69" s="114"/>
      <c r="Z69" s="114"/>
      <c r="AA69" s="114"/>
      <c r="AB69" s="114"/>
      <c r="AC69" s="114"/>
      <c r="AE69" s="116">
        <f>IF(AND(AG69&gt;0,AE67&gt;=0),AE67+1,0)</f>
        <v>0</v>
      </c>
      <c r="AF69" s="77">
        <v>43831</v>
      </c>
      <c r="AG69" s="114"/>
      <c r="AH69" s="114"/>
      <c r="AI69" s="114"/>
      <c r="AJ69" s="114"/>
      <c r="AK69" s="114"/>
      <c r="AM69" s="116">
        <f>IF(AND(AO69&gt;0,AM67&gt;=0),AM67+1,0)</f>
        <v>0</v>
      </c>
      <c r="AN69" s="77">
        <v>43831</v>
      </c>
      <c r="AO69" s="114"/>
      <c r="AP69" s="114"/>
      <c r="AQ69" s="114"/>
      <c r="AR69" s="114"/>
      <c r="AS69" s="114"/>
      <c r="AU69" s="116">
        <f>IF(AND(AW69&gt;0,AU67&gt;=0),AU67+1,0)</f>
        <v>0</v>
      </c>
      <c r="AV69" s="77">
        <v>43831</v>
      </c>
      <c r="AW69" s="114"/>
      <c r="AX69" s="114"/>
      <c r="AY69" s="114"/>
      <c r="AZ69" s="114"/>
      <c r="BA69" s="114"/>
      <c r="BC69" s="116">
        <f>IF(AND(BE69&gt;0,BC67&gt;=0),BC67+1,0)</f>
        <v>0</v>
      </c>
      <c r="BD69" s="77">
        <v>43831</v>
      </c>
      <c r="BE69" s="114"/>
      <c r="BF69" s="114"/>
      <c r="BG69" s="114"/>
      <c r="BH69" s="114"/>
      <c r="BI69" s="114"/>
      <c r="BK69" s="116">
        <f>IF(AND(BM69&gt;0,BK67&gt;=0),BK67+1,0)</f>
        <v>0</v>
      </c>
      <c r="BL69" s="77">
        <v>43831</v>
      </c>
      <c r="BM69" s="114"/>
      <c r="BN69" s="114"/>
      <c r="BO69" s="114"/>
      <c r="BP69" s="114"/>
      <c r="BQ69" s="114"/>
      <c r="BS69" s="116">
        <f>IF(AND(BU69&gt;0,BS67&gt;=0),BS67+1,0)</f>
        <v>0</v>
      </c>
      <c r="BT69" s="77">
        <v>43831</v>
      </c>
      <c r="BU69" s="114"/>
      <c r="BV69" s="114"/>
      <c r="BW69" s="114"/>
      <c r="BX69" s="114"/>
      <c r="BY69" s="114"/>
      <c r="CA69" s="116">
        <f>IF(AND(CC69&gt;0,CA67&gt;=0),CA67+1,0)</f>
        <v>0</v>
      </c>
      <c r="CB69" s="77">
        <v>43831</v>
      </c>
      <c r="CC69" s="114"/>
      <c r="CD69" s="114"/>
      <c r="CE69" s="114"/>
      <c r="CF69" s="114"/>
      <c r="CG69" s="114"/>
      <c r="CI69" s="116">
        <f>IF(AND(CK69&gt;0,CI67&gt;=0),CI67+1,0)</f>
        <v>0</v>
      </c>
      <c r="CJ69" s="77">
        <v>43831</v>
      </c>
      <c r="CK69" s="114"/>
      <c r="CL69" s="114"/>
      <c r="CM69" s="114"/>
      <c r="CN69" s="114"/>
      <c r="CO69" s="114"/>
      <c r="CQ69" s="116">
        <f>IF(AND(CS69&gt;0,CQ67&gt;=0),CQ67+1,0)</f>
        <v>0</v>
      </c>
      <c r="CR69" s="77">
        <v>43831</v>
      </c>
      <c r="CS69" s="114">
        <f>[6]IRR!AL60</f>
        <v>0</v>
      </c>
      <c r="CT69" s="5">
        <f>CS69/(1+'[6]Assets to be Leased'!$B$9)</f>
        <v>0</v>
      </c>
      <c r="CU69" s="114"/>
      <c r="CV69" s="114">
        <f>[6]IRR!AO60</f>
        <v>565.26226299613836</v>
      </c>
      <c r="CW69" s="114">
        <f>[6]IRR!AP60/(1+'[6]Assets to be Leased'!$B$9)</f>
        <v>54391.909446259619</v>
      </c>
      <c r="CZ69" s="155">
        <f>CZ56+1</f>
        <v>2019</v>
      </c>
      <c r="DA69" s="142">
        <f>IF(DO68&gt;=DA68,0,U68*(1+'[6]Assets to be Leased'!$B$9))</f>
        <v>0</v>
      </c>
      <c r="DB69" s="143">
        <f>IF(DO68&gt;=DB68,0,AC68*(1+'[6]Assets to be Leased'!$B$9))</f>
        <v>0</v>
      </c>
      <c r="DC69" s="143">
        <f>IF(DO68&gt;=DC68,0,AK68*(1+'[6]Assets to be Leased'!$B$9))</f>
        <v>0</v>
      </c>
      <c r="DD69" s="144">
        <f>IF(AS68="","",AS68*(1+'[6]Assets to be Leased'!$B$9))</f>
        <v>0</v>
      </c>
      <c r="DE69" s="144">
        <f>BA68*(1+'[6]Assets to be Leased'!$B$9)</f>
        <v>0</v>
      </c>
      <c r="DF69" s="144">
        <f>BI68*(1+'[6]Assets to be Leased'!$B$9)</f>
        <v>0</v>
      </c>
      <c r="DG69" s="144">
        <f>BQ68*(1+'[6]Assets to be Leased'!$B$9)</f>
        <v>0</v>
      </c>
      <c r="DH69" s="144">
        <f>BY68*(1+'[6]Assets to be Leased'!$B$9)</f>
        <v>0</v>
      </c>
      <c r="DI69" s="144">
        <f>CG68*(1+'[6]Assets to be Leased'!$B$9)</f>
        <v>0</v>
      </c>
      <c r="DJ69" s="144">
        <f>CO68*(1+'[6]Assets to be Leased'!$B$9)</f>
        <v>0</v>
      </c>
      <c r="DK69" s="176">
        <f>CW68*(1+'[6]Assets to be Leased'!$B$9)</f>
        <v>62529.352694665009</v>
      </c>
      <c r="DL69" s="176">
        <f t="shared" si="27"/>
        <v>62529.352694665009</v>
      </c>
      <c r="DM69" s="161">
        <f t="array" ref="DM69">IFERROR(SMALL(IF(DA69:DC69&gt;0,DA69:DC69),1),0)</f>
        <v>0</v>
      </c>
      <c r="DN69" s="155">
        <f>DN56+1</f>
        <v>2019</v>
      </c>
      <c r="DO69" s="169">
        <f>IF(DS68+DR69&gt;DM69,HLOOKUP(DM69,DA69:$DL$82,1,FALSE),0)</f>
        <v>0</v>
      </c>
      <c r="DP69" s="214"/>
      <c r="DQ69" s="214"/>
      <c r="DR69" s="214"/>
      <c r="DS69" s="106"/>
    </row>
    <row r="70" spans="1:123">
      <c r="A70" s="1783">
        <f>B11</f>
        <v>0</v>
      </c>
      <c r="B70" s="122" t="s">
        <v>67</v>
      </c>
      <c r="C70" s="11">
        <f>$BU29</f>
        <v>0</v>
      </c>
      <c r="D70" s="11">
        <f>$BU42</f>
        <v>0</v>
      </c>
      <c r="E70" s="11">
        <f>$BU55</f>
        <v>0</v>
      </c>
      <c r="F70" s="11">
        <f>$BU68</f>
        <v>0</v>
      </c>
      <c r="G70" s="11">
        <f>$BU81</f>
        <v>0</v>
      </c>
      <c r="H70" s="11">
        <f>$BU94</f>
        <v>0</v>
      </c>
      <c r="I70" s="11">
        <f>$BU107</f>
        <v>0</v>
      </c>
      <c r="J70" s="11">
        <f>$BU120</f>
        <v>0</v>
      </c>
      <c r="K70" s="11">
        <f>$BU133</f>
        <v>0</v>
      </c>
      <c r="L70" s="74">
        <f>$BU146</f>
        <v>0</v>
      </c>
      <c r="M70" s="12"/>
      <c r="O70" s="116">
        <f t="shared" ref="O70:O80" si="78">IF(AND(Q70&gt;0,O69&gt;=0),O69+1,0)</f>
        <v>0</v>
      </c>
      <c r="P70" s="78">
        <v>43862</v>
      </c>
      <c r="Q70" s="80"/>
      <c r="R70" s="80"/>
      <c r="S70" s="80"/>
      <c r="T70" s="80"/>
      <c r="U70" s="80"/>
      <c r="V70" s="86"/>
      <c r="W70" s="116">
        <f t="shared" ref="W70:W80" si="79">IF(AND(Y70&gt;0,W69&gt;=0),W69+1,0)</f>
        <v>0</v>
      </c>
      <c r="X70" s="78">
        <v>43862</v>
      </c>
      <c r="Y70" s="112"/>
      <c r="Z70" s="112"/>
      <c r="AA70" s="112"/>
      <c r="AB70" s="112"/>
      <c r="AC70" s="112"/>
      <c r="AE70" s="116">
        <f t="shared" ref="AE70:AE80" si="80">IF(AND(AG70&gt;0,AE69&gt;=0),AE69+1,0)</f>
        <v>0</v>
      </c>
      <c r="AF70" s="78">
        <v>43862</v>
      </c>
      <c r="AG70" s="112"/>
      <c r="AH70" s="112"/>
      <c r="AI70" s="112"/>
      <c r="AJ70" s="112"/>
      <c r="AK70" s="112"/>
      <c r="AM70" s="116">
        <f t="shared" ref="AM70:AM80" si="81">IF(AND(AO70&gt;0,AM69&gt;=0),AM69+1,0)</f>
        <v>0</v>
      </c>
      <c r="AN70" s="78">
        <v>43862</v>
      </c>
      <c r="AO70" s="112"/>
      <c r="AP70" s="112"/>
      <c r="AQ70" s="112"/>
      <c r="AR70" s="112"/>
      <c r="AS70" s="112"/>
      <c r="AU70" s="116">
        <f t="shared" ref="AU70:AU80" si="82">IF(AND(AW70&gt;0,AU69&gt;=0),AU69+1,0)</f>
        <v>0</v>
      </c>
      <c r="AV70" s="78">
        <v>43862</v>
      </c>
      <c r="AW70" s="112"/>
      <c r="AX70" s="112"/>
      <c r="AY70" s="112"/>
      <c r="AZ70" s="112"/>
      <c r="BA70" s="112"/>
      <c r="BC70" s="116">
        <f t="shared" ref="BC70:BC80" si="83">IF(AND(BE70&gt;0,BC69&gt;=0),BC69+1,0)</f>
        <v>0</v>
      </c>
      <c r="BD70" s="78">
        <v>43862</v>
      </c>
      <c r="BE70" s="112"/>
      <c r="BF70" s="112"/>
      <c r="BG70" s="112"/>
      <c r="BH70" s="112"/>
      <c r="BI70" s="112"/>
      <c r="BK70" s="116">
        <f t="shared" ref="BK70:BK80" si="84">IF(AND(BM70&gt;0,BK69&gt;=0),BK69+1,0)</f>
        <v>0</v>
      </c>
      <c r="BL70" s="78">
        <v>43862</v>
      </c>
      <c r="BM70" s="112"/>
      <c r="BN70" s="112"/>
      <c r="BO70" s="112"/>
      <c r="BP70" s="112"/>
      <c r="BQ70" s="112"/>
      <c r="BS70" s="116">
        <f t="shared" ref="BS70:BS80" si="85">IF(AND(BU70&gt;0,BS69&gt;=0),BS69+1,0)</f>
        <v>0</v>
      </c>
      <c r="BT70" s="78">
        <v>43862</v>
      </c>
      <c r="BU70" s="112"/>
      <c r="BV70" s="112"/>
      <c r="BW70" s="112"/>
      <c r="BX70" s="112"/>
      <c r="BY70" s="112"/>
      <c r="CA70" s="116">
        <f t="shared" ref="CA70:CA80" si="86">IF(AND(CC70&gt;0,CA69&gt;=0),CA69+1,0)</f>
        <v>0</v>
      </c>
      <c r="CB70" s="78">
        <v>43862</v>
      </c>
      <c r="CC70" s="112"/>
      <c r="CD70" s="112"/>
      <c r="CE70" s="112"/>
      <c r="CF70" s="112"/>
      <c r="CG70" s="112"/>
      <c r="CI70" s="116">
        <f t="shared" ref="CI70:CI80" si="87">IF(AND(CK70&gt;0,CI69&gt;=0),CI69+1,0)</f>
        <v>0</v>
      </c>
      <c r="CJ70" s="78">
        <v>43862</v>
      </c>
      <c r="CK70" s="112"/>
      <c r="CL70" s="112"/>
      <c r="CM70" s="112"/>
      <c r="CN70" s="112"/>
      <c r="CO70" s="112"/>
      <c r="CQ70" s="116">
        <f t="shared" ref="CQ70:CQ80" si="88">IF(AND(CS70&gt;0,CQ69&gt;=0),CQ69+1,0)</f>
        <v>0</v>
      </c>
      <c r="CR70" s="78">
        <v>43862</v>
      </c>
      <c r="CS70" s="112">
        <f>[6]IRR!AL61</f>
        <v>0</v>
      </c>
      <c r="CT70" s="5">
        <f>CS70/(1+'[6]Assets to be Leased'!$B$9)</f>
        <v>0</v>
      </c>
      <c r="CU70" s="112"/>
      <c r="CV70" s="112">
        <f>[6]IRR!AO61</f>
        <v>570.37220596208851</v>
      </c>
      <c r="CW70" s="112">
        <f>[6]IRR!AP61/(1+'[6]Assets to be Leased'!$B$9)</f>
        <v>54883.609623813136</v>
      </c>
      <c r="CZ70" s="77">
        <v>43831</v>
      </c>
      <c r="DA70" s="142">
        <f>IF(DO69&gt;=DA69,0,U69*(1+'[6]Assets to be Leased'!$B$9))</f>
        <v>0</v>
      </c>
      <c r="DB70" s="143">
        <f>IF(DO69&gt;=DB69,0,AC69*(1+'[6]Assets to be Leased'!$B$9))</f>
        <v>0</v>
      </c>
      <c r="DC70" s="143">
        <f>IF(DO69&gt;=DC69,0,AK69*(1+'[6]Assets to be Leased'!$B$9))</f>
        <v>0</v>
      </c>
      <c r="DD70" s="144" t="str">
        <f>IF(AS69="","",AS69*(1+'[6]Assets to be Leased'!$B$9))</f>
        <v/>
      </c>
      <c r="DE70" s="144">
        <f>BA69*(1+'[6]Assets to be Leased'!$B$9)</f>
        <v>0</v>
      </c>
      <c r="DF70" s="144">
        <f>BI69*(1+'[6]Assets to be Leased'!$B$9)</f>
        <v>0</v>
      </c>
      <c r="DG70" s="144">
        <f>BQ69*(1+'[6]Assets to be Leased'!$B$9)</f>
        <v>0</v>
      </c>
      <c r="DH70" s="144">
        <f>BY69*(1+'[6]Assets to be Leased'!$B$9)</f>
        <v>0</v>
      </c>
      <c r="DI70" s="144">
        <f>CG69*(1+'[6]Assets to be Leased'!$B$9)</f>
        <v>0</v>
      </c>
      <c r="DJ70" s="144">
        <f>CO69*(1+'[6]Assets to be Leased'!$B$9)</f>
        <v>0</v>
      </c>
      <c r="DK70" s="176">
        <f>CW69*(1+'[6]Assets to be Leased'!$B$9)</f>
        <v>63094.61495766115</v>
      </c>
      <c r="DL70" s="176">
        <f t="shared" si="27"/>
        <v>63094.61495766115</v>
      </c>
      <c r="DM70" s="161">
        <f t="array" ref="DM70">IFERROR(SMALL(IF(DA70:DC70&gt;0,DA70:DC70),1),0)</f>
        <v>0</v>
      </c>
      <c r="DN70" s="77">
        <v>43831</v>
      </c>
      <c r="DO70" s="169">
        <f>IF(DS69+DR70&gt;DM70,HLOOKUP(DM70,DA70:$DL$82,1,FALSE),0)</f>
        <v>0</v>
      </c>
      <c r="DP70" s="223"/>
      <c r="DQ70" s="223"/>
      <c r="DR70" s="223"/>
      <c r="DS70" s="224"/>
    </row>
    <row r="71" spans="1:123">
      <c r="A71" s="1784"/>
      <c r="B71" s="23" t="s">
        <v>69</v>
      </c>
      <c r="C71" s="9">
        <f>$BV29</f>
        <v>0</v>
      </c>
      <c r="D71" s="9">
        <f>$BV42</f>
        <v>0</v>
      </c>
      <c r="E71" s="9">
        <f>$BV55</f>
        <v>0</v>
      </c>
      <c r="F71" s="9">
        <f>$BV68</f>
        <v>0</v>
      </c>
      <c r="G71" s="9">
        <f>$BV81</f>
        <v>0</v>
      </c>
      <c r="H71" s="9">
        <f>$BV94</f>
        <v>0</v>
      </c>
      <c r="I71" s="9">
        <f>$BV107</f>
        <v>0</v>
      </c>
      <c r="J71" s="9">
        <f>$BV120</f>
        <v>0</v>
      </c>
      <c r="K71" s="9">
        <f>$BV133</f>
        <v>0</v>
      </c>
      <c r="L71" s="22">
        <f>$BV146</f>
        <v>0</v>
      </c>
      <c r="M71" s="12"/>
      <c r="O71" s="116">
        <f t="shared" si="78"/>
        <v>0</v>
      </c>
      <c r="P71" s="78">
        <v>43891</v>
      </c>
      <c r="Q71" s="80"/>
      <c r="R71" s="80"/>
      <c r="S71" s="80"/>
      <c r="T71" s="80"/>
      <c r="U71" s="80"/>
      <c r="V71" s="86"/>
      <c r="W71" s="116">
        <f t="shared" si="79"/>
        <v>0</v>
      </c>
      <c r="X71" s="78">
        <v>43891</v>
      </c>
      <c r="Y71" s="112"/>
      <c r="Z71" s="112"/>
      <c r="AA71" s="112"/>
      <c r="AB71" s="112"/>
      <c r="AC71" s="112"/>
      <c r="AE71" s="116">
        <f t="shared" si="80"/>
        <v>0</v>
      </c>
      <c r="AF71" s="78">
        <v>43891</v>
      </c>
      <c r="AG71" s="112"/>
      <c r="AH71" s="112"/>
      <c r="AI71" s="112"/>
      <c r="AJ71" s="112"/>
      <c r="AK71" s="112"/>
      <c r="AM71" s="116">
        <f t="shared" si="81"/>
        <v>0</v>
      </c>
      <c r="AN71" s="78">
        <v>43891</v>
      </c>
      <c r="AO71" s="112"/>
      <c r="AP71" s="112"/>
      <c r="AQ71" s="112"/>
      <c r="AR71" s="112"/>
      <c r="AS71" s="112"/>
      <c r="AU71" s="116">
        <f t="shared" si="82"/>
        <v>0</v>
      </c>
      <c r="AV71" s="78">
        <v>43891</v>
      </c>
      <c r="AW71" s="112"/>
      <c r="AX71" s="112"/>
      <c r="AY71" s="112"/>
      <c r="AZ71" s="112"/>
      <c r="BA71" s="112"/>
      <c r="BC71" s="116">
        <f t="shared" si="83"/>
        <v>0</v>
      </c>
      <c r="BD71" s="78">
        <v>43891</v>
      </c>
      <c r="BE71" s="112"/>
      <c r="BF71" s="112"/>
      <c r="BG71" s="112"/>
      <c r="BH71" s="112"/>
      <c r="BI71" s="112"/>
      <c r="BK71" s="116">
        <f t="shared" si="84"/>
        <v>0</v>
      </c>
      <c r="BL71" s="78">
        <v>43891</v>
      </c>
      <c r="BM71" s="112"/>
      <c r="BN71" s="112"/>
      <c r="BO71" s="112"/>
      <c r="BP71" s="112"/>
      <c r="BQ71" s="112"/>
      <c r="BS71" s="116">
        <f t="shared" si="85"/>
        <v>0</v>
      </c>
      <c r="BT71" s="78">
        <v>43891</v>
      </c>
      <c r="BU71" s="112"/>
      <c r="BV71" s="112"/>
      <c r="BW71" s="112"/>
      <c r="BX71" s="112"/>
      <c r="BY71" s="112"/>
      <c r="CA71" s="116">
        <f t="shared" si="86"/>
        <v>0</v>
      </c>
      <c r="CB71" s="78">
        <v>43891</v>
      </c>
      <c r="CC71" s="112"/>
      <c r="CD71" s="112"/>
      <c r="CE71" s="112"/>
      <c r="CF71" s="112"/>
      <c r="CG71" s="112"/>
      <c r="CI71" s="116">
        <f t="shared" si="87"/>
        <v>0</v>
      </c>
      <c r="CJ71" s="78">
        <v>43891</v>
      </c>
      <c r="CK71" s="112"/>
      <c r="CL71" s="112"/>
      <c r="CM71" s="112"/>
      <c r="CN71" s="112"/>
      <c r="CO71" s="112"/>
      <c r="CQ71" s="116">
        <f t="shared" si="88"/>
        <v>1</v>
      </c>
      <c r="CR71" s="78">
        <v>43891</v>
      </c>
      <c r="CS71" s="112">
        <f>[6]IRR!AL62</f>
        <v>7119.7567446554722</v>
      </c>
      <c r="CT71" s="5">
        <f>CS71/(1+'[6]Assets to be Leased'!$B$9)</f>
        <v>6137.721331599545</v>
      </c>
      <c r="CU71" s="112"/>
      <c r="CV71" s="112">
        <f>[6]IRR!AO62</f>
        <v>575.52834256031258</v>
      </c>
      <c r="CW71" s="112">
        <f>[6]IRR!AP62/(1+'[6]Assets to be Leased'!$B$9)</f>
        <v>49242.033415110418</v>
      </c>
      <c r="CZ71" s="78">
        <v>43862</v>
      </c>
      <c r="DA71" s="142">
        <f>IF(DO70&gt;=DA70,0,U70*(1+'[6]Assets to be Leased'!$B$9))</f>
        <v>0</v>
      </c>
      <c r="DB71" s="143">
        <f>IF(DO70&gt;=DB70,0,AC70*(1+'[6]Assets to be Leased'!$B$9))</f>
        <v>0</v>
      </c>
      <c r="DC71" s="143">
        <f>IF(DO70&gt;=DC70,0,AK70*(1+'[6]Assets to be Leased'!$B$9))</f>
        <v>0</v>
      </c>
      <c r="DD71" s="144" t="str">
        <f>IF(AS70="","",AS70*(1+'[6]Assets to be Leased'!$B$9))</f>
        <v/>
      </c>
      <c r="DE71" s="144">
        <f>BA70*(1+'[6]Assets to be Leased'!$B$9)</f>
        <v>0</v>
      </c>
      <c r="DF71" s="144">
        <f>BI70*(1+'[6]Assets to be Leased'!$B$9)</f>
        <v>0</v>
      </c>
      <c r="DG71" s="144">
        <f>BQ70*(1+'[6]Assets to be Leased'!$B$9)</f>
        <v>0</v>
      </c>
      <c r="DH71" s="144">
        <f>BY70*(1+'[6]Assets to be Leased'!$B$9)</f>
        <v>0</v>
      </c>
      <c r="DI71" s="144">
        <f>CG70*(1+'[6]Assets to be Leased'!$B$9)</f>
        <v>0</v>
      </c>
      <c r="DJ71" s="144">
        <f>CO70*(1+'[6]Assets to be Leased'!$B$9)</f>
        <v>0</v>
      </c>
      <c r="DK71" s="176">
        <f>CW70*(1+'[6]Assets to be Leased'!$B$9)</f>
        <v>63664.987163623235</v>
      </c>
      <c r="DL71" s="176">
        <f t="shared" si="27"/>
        <v>63664.987163623235</v>
      </c>
      <c r="DM71" s="161">
        <f t="array" ref="DM71">IFERROR(SMALL(IF(DA71:DC71&gt;0,DA71:DC71),1),0)</f>
        <v>0</v>
      </c>
      <c r="DN71" s="78">
        <v>43862</v>
      </c>
      <c r="DO71" s="169">
        <f>IF(DS70+DR71&gt;DM71,HLOOKUP(DM71,DA71:$DL$82,1,FALSE),0)</f>
        <v>0</v>
      </c>
      <c r="DS71" s="225"/>
    </row>
    <row r="72" spans="1:123">
      <c r="A72" s="1784"/>
      <c r="B72" s="23" t="s">
        <v>68</v>
      </c>
      <c r="C72" s="9">
        <f>C70-C71</f>
        <v>0</v>
      </c>
      <c r="D72" s="9">
        <f>D70-D71</f>
        <v>0</v>
      </c>
      <c r="E72" s="9">
        <f>E70-E71</f>
        <v>0</v>
      </c>
      <c r="F72" s="9">
        <f t="shared" ref="F72:L72" si="89">F70-F71</f>
        <v>0</v>
      </c>
      <c r="G72" s="9">
        <f t="shared" si="89"/>
        <v>0</v>
      </c>
      <c r="H72" s="9">
        <f t="shared" si="89"/>
        <v>0</v>
      </c>
      <c r="I72" s="9">
        <f t="shared" si="89"/>
        <v>0</v>
      </c>
      <c r="J72" s="9">
        <f t="shared" si="89"/>
        <v>0</v>
      </c>
      <c r="K72" s="9">
        <f t="shared" si="89"/>
        <v>0</v>
      </c>
      <c r="L72" s="22">
        <f t="shared" si="89"/>
        <v>0</v>
      </c>
      <c r="M72" s="12"/>
      <c r="O72" s="116">
        <f t="shared" si="78"/>
        <v>0</v>
      </c>
      <c r="P72" s="78">
        <v>43922</v>
      </c>
      <c r="Q72" s="80"/>
      <c r="R72" s="80"/>
      <c r="S72" s="80"/>
      <c r="T72" s="80"/>
      <c r="U72" s="80"/>
      <c r="V72" s="86"/>
      <c r="W72" s="116">
        <f t="shared" si="79"/>
        <v>0</v>
      </c>
      <c r="X72" s="78">
        <v>43922</v>
      </c>
      <c r="Y72" s="112"/>
      <c r="Z72" s="112"/>
      <c r="AA72" s="112"/>
      <c r="AB72" s="112"/>
      <c r="AC72" s="112"/>
      <c r="AE72" s="116">
        <f t="shared" si="80"/>
        <v>0</v>
      </c>
      <c r="AF72" s="78">
        <v>43922</v>
      </c>
      <c r="AG72" s="112"/>
      <c r="AH72" s="112"/>
      <c r="AI72" s="112"/>
      <c r="AJ72" s="112"/>
      <c r="AK72" s="112"/>
      <c r="AM72" s="116">
        <f t="shared" si="81"/>
        <v>0</v>
      </c>
      <c r="AN72" s="78">
        <v>43922</v>
      </c>
      <c r="AO72" s="112"/>
      <c r="AP72" s="112"/>
      <c r="AQ72" s="112"/>
      <c r="AR72" s="112"/>
      <c r="AS72" s="112"/>
      <c r="AU72" s="116">
        <f t="shared" si="82"/>
        <v>0</v>
      </c>
      <c r="AV72" s="78">
        <v>43922</v>
      </c>
      <c r="AW72" s="112"/>
      <c r="AX72" s="112"/>
      <c r="AY72" s="112"/>
      <c r="AZ72" s="112"/>
      <c r="BA72" s="112"/>
      <c r="BC72" s="116">
        <f t="shared" si="83"/>
        <v>0</v>
      </c>
      <c r="BD72" s="78">
        <v>43922</v>
      </c>
      <c r="BE72" s="112"/>
      <c r="BF72" s="112"/>
      <c r="BG72" s="112"/>
      <c r="BH72" s="112"/>
      <c r="BI72" s="112"/>
      <c r="BK72" s="116">
        <f t="shared" si="84"/>
        <v>0</v>
      </c>
      <c r="BL72" s="78">
        <v>43922</v>
      </c>
      <c r="BM72" s="112"/>
      <c r="BN72" s="112"/>
      <c r="BO72" s="112"/>
      <c r="BP72" s="112"/>
      <c r="BQ72" s="112"/>
      <c r="BS72" s="116">
        <f t="shared" si="85"/>
        <v>0</v>
      </c>
      <c r="BT72" s="78">
        <v>43922</v>
      </c>
      <c r="BU72" s="112"/>
      <c r="BV72" s="112"/>
      <c r="BW72" s="112"/>
      <c r="BX72" s="112"/>
      <c r="BY72" s="112"/>
      <c r="CA72" s="116">
        <f t="shared" si="86"/>
        <v>0</v>
      </c>
      <c r="CB72" s="78">
        <v>43922</v>
      </c>
      <c r="CC72" s="112"/>
      <c r="CD72" s="112"/>
      <c r="CE72" s="112"/>
      <c r="CF72" s="112"/>
      <c r="CG72" s="112"/>
      <c r="CI72" s="116">
        <f t="shared" si="87"/>
        <v>0</v>
      </c>
      <c r="CJ72" s="78">
        <v>43922</v>
      </c>
      <c r="CK72" s="112"/>
      <c r="CL72" s="112"/>
      <c r="CM72" s="112"/>
      <c r="CN72" s="112"/>
      <c r="CO72" s="112"/>
      <c r="CQ72" s="116">
        <f t="shared" si="88"/>
        <v>2</v>
      </c>
      <c r="CR72" s="78">
        <v>43922</v>
      </c>
      <c r="CS72" s="112">
        <f>[6]IRR!AL63</f>
        <v>7119.7567446554722</v>
      </c>
      <c r="CT72" s="5">
        <f>CS72/(1+'[6]Assets to be Leased'!$B$9)</f>
        <v>6137.721331599545</v>
      </c>
      <c r="CU72" s="112"/>
      <c r="CV72" s="112">
        <f>[6]IRR!AO63</f>
        <v>516.36884071490931</v>
      </c>
      <c r="CW72" s="112">
        <f>[6]IRR!AP63/(1+'[6]Assets to be Leased'!$B$9)</f>
        <v>43549.457635851308</v>
      </c>
      <c r="CZ72" s="78">
        <v>43891</v>
      </c>
      <c r="DA72" s="142">
        <f>IF(DO71&gt;=DA71,0,U71*(1+'[6]Assets to be Leased'!$B$9))</f>
        <v>0</v>
      </c>
      <c r="DB72" s="143">
        <f>IF(DO71&gt;=DB71,0,AC71*(1+'[6]Assets to be Leased'!$B$9))</f>
        <v>0</v>
      </c>
      <c r="DC72" s="143">
        <f>IF(DO71&gt;=DC71,0,AK71*(1+'[6]Assets to be Leased'!$B$9))</f>
        <v>0</v>
      </c>
      <c r="DD72" s="144" t="str">
        <f>IF(AS71="","",AS71*(1+'[6]Assets to be Leased'!$B$9))</f>
        <v/>
      </c>
      <c r="DE72" s="144">
        <f>BA71*(1+'[6]Assets to be Leased'!$B$9)</f>
        <v>0</v>
      </c>
      <c r="DF72" s="144">
        <f>BI71*(1+'[6]Assets to be Leased'!$B$9)</f>
        <v>0</v>
      </c>
      <c r="DG72" s="144">
        <f>BQ71*(1+'[6]Assets to be Leased'!$B$9)</f>
        <v>0</v>
      </c>
      <c r="DH72" s="144">
        <f>BY71*(1+'[6]Assets to be Leased'!$B$9)</f>
        <v>0</v>
      </c>
      <c r="DI72" s="144">
        <f>CG71*(1+'[6]Assets to be Leased'!$B$9)</f>
        <v>0</v>
      </c>
      <c r="DJ72" s="144">
        <f>CO71*(1+'[6]Assets to be Leased'!$B$9)</f>
        <v>0</v>
      </c>
      <c r="DK72" s="176">
        <f>CW71*(1+'[6]Assets to be Leased'!$B$9)</f>
        <v>57120.758761528079</v>
      </c>
      <c r="DL72" s="176">
        <f t="shared" si="27"/>
        <v>57120.758761528079</v>
      </c>
      <c r="DM72" s="161">
        <f t="array" ref="DM72">IFERROR(SMALL(IF(DA72:DC72&gt;0,DA72:DC72),1),0)</f>
        <v>0</v>
      </c>
      <c r="DN72" s="78">
        <v>43891</v>
      </c>
      <c r="DO72" s="169">
        <f>IF(DS71+DR72&gt;DM72,HLOOKUP(DM72,DA72:$DL$82,1,FALSE),0)</f>
        <v>0</v>
      </c>
      <c r="DS72" s="225"/>
    </row>
    <row r="73" spans="1:123">
      <c r="A73" s="1784"/>
      <c r="B73" s="23" t="s">
        <v>54</v>
      </c>
      <c r="C73" s="63">
        <f>$BX29</f>
        <v>0</v>
      </c>
      <c r="D73" s="8">
        <f>$BX42</f>
        <v>0</v>
      </c>
      <c r="E73" s="8">
        <f>$BX55</f>
        <v>0</v>
      </c>
      <c r="F73" s="8">
        <f>$BX68</f>
        <v>0</v>
      </c>
      <c r="G73" s="8">
        <f>$BX81</f>
        <v>0</v>
      </c>
      <c r="H73" s="8">
        <f>$BX94</f>
        <v>0</v>
      </c>
      <c r="I73" s="8">
        <f>$BX107</f>
        <v>0</v>
      </c>
      <c r="J73" s="8">
        <f>$BX120</f>
        <v>0</v>
      </c>
      <c r="K73" s="8">
        <f>$BX133</f>
        <v>0</v>
      </c>
      <c r="L73" s="62">
        <f>$BX146</f>
        <v>0</v>
      </c>
      <c r="M73" s="12"/>
      <c r="O73" s="116">
        <f t="shared" si="78"/>
        <v>0</v>
      </c>
      <c r="P73" s="78">
        <v>43952</v>
      </c>
      <c r="Q73" s="80"/>
      <c r="R73" s="80"/>
      <c r="S73" s="80"/>
      <c r="T73" s="80"/>
      <c r="U73" s="80"/>
      <c r="V73" s="86"/>
      <c r="W73" s="116">
        <f t="shared" si="79"/>
        <v>0</v>
      </c>
      <c r="X73" s="78">
        <v>43952</v>
      </c>
      <c r="Y73" s="112"/>
      <c r="Z73" s="112"/>
      <c r="AA73" s="112"/>
      <c r="AB73" s="112"/>
      <c r="AC73" s="112"/>
      <c r="AE73" s="116">
        <f t="shared" si="80"/>
        <v>0</v>
      </c>
      <c r="AF73" s="78">
        <v>43952</v>
      </c>
      <c r="AG73" s="112"/>
      <c r="AH73" s="112"/>
      <c r="AI73" s="112"/>
      <c r="AJ73" s="112"/>
      <c r="AK73" s="112"/>
      <c r="AM73" s="116">
        <f t="shared" si="81"/>
        <v>0</v>
      </c>
      <c r="AN73" s="78">
        <v>43952</v>
      </c>
      <c r="AO73" s="112"/>
      <c r="AP73" s="112"/>
      <c r="AQ73" s="112"/>
      <c r="AR73" s="112"/>
      <c r="AS73" s="112"/>
      <c r="AU73" s="116">
        <f t="shared" si="82"/>
        <v>0</v>
      </c>
      <c r="AV73" s="78">
        <v>43952</v>
      </c>
      <c r="AW73" s="112"/>
      <c r="AX73" s="112"/>
      <c r="AY73" s="112"/>
      <c r="AZ73" s="112"/>
      <c r="BA73" s="112"/>
      <c r="BC73" s="116">
        <f t="shared" si="83"/>
        <v>0</v>
      </c>
      <c r="BD73" s="78">
        <v>43952</v>
      </c>
      <c r="BE73" s="112"/>
      <c r="BF73" s="112"/>
      <c r="BG73" s="112"/>
      <c r="BH73" s="112"/>
      <c r="BI73" s="112"/>
      <c r="BK73" s="116">
        <f t="shared" si="84"/>
        <v>0</v>
      </c>
      <c r="BL73" s="78">
        <v>43952</v>
      </c>
      <c r="BM73" s="112"/>
      <c r="BN73" s="112"/>
      <c r="BO73" s="112"/>
      <c r="BP73" s="112"/>
      <c r="BQ73" s="112"/>
      <c r="BS73" s="116">
        <f t="shared" si="85"/>
        <v>0</v>
      </c>
      <c r="BT73" s="78">
        <v>43952</v>
      </c>
      <c r="BU73" s="112"/>
      <c r="BV73" s="112"/>
      <c r="BW73" s="112"/>
      <c r="BX73" s="112"/>
      <c r="BY73" s="112"/>
      <c r="CA73" s="116">
        <f t="shared" si="86"/>
        <v>0</v>
      </c>
      <c r="CB73" s="78">
        <v>43952</v>
      </c>
      <c r="CC73" s="112"/>
      <c r="CD73" s="112"/>
      <c r="CE73" s="112"/>
      <c r="CF73" s="112"/>
      <c r="CG73" s="112"/>
      <c r="CI73" s="116">
        <f t="shared" si="87"/>
        <v>0</v>
      </c>
      <c r="CJ73" s="78">
        <v>43952</v>
      </c>
      <c r="CK73" s="112"/>
      <c r="CL73" s="112"/>
      <c r="CM73" s="112"/>
      <c r="CN73" s="112"/>
      <c r="CO73" s="112"/>
      <c r="CQ73" s="116">
        <f t="shared" si="88"/>
        <v>3</v>
      </c>
      <c r="CR73" s="78">
        <v>43952</v>
      </c>
      <c r="CS73" s="112">
        <f>[6]IRR!AL64</f>
        <v>7119.7567446554722</v>
      </c>
      <c r="CT73" s="5">
        <f>CS73/(1+'[6]Assets to be Leased'!$B$9)</f>
        <v>6137.721331599545</v>
      </c>
      <c r="CU73" s="112"/>
      <c r="CV73" s="112">
        <f>[6]IRR!AO64</f>
        <v>456.67453989190972</v>
      </c>
      <c r="CW73" s="112">
        <f>[6]IRR!AP64/(1+'[6]Assets to be Leased'!$B$9)</f>
        <v>37805.42125243444</v>
      </c>
      <c r="CZ73" s="78">
        <v>43922</v>
      </c>
      <c r="DA73" s="142">
        <f>IF(DO72&gt;=DA72,0,U72*(1+'[6]Assets to be Leased'!$B$9))</f>
        <v>0</v>
      </c>
      <c r="DB73" s="143">
        <f>IF(DO72&gt;=DB72,0,AC72*(1+'[6]Assets to be Leased'!$B$9))</f>
        <v>0</v>
      </c>
      <c r="DC73" s="143">
        <f>IF(DO72&gt;=DC72,0,AK72*(1+'[6]Assets to be Leased'!$B$9))</f>
        <v>0</v>
      </c>
      <c r="DD73" s="144" t="str">
        <f>IF(AS72="","",AS72*(1+'[6]Assets to be Leased'!$B$9))</f>
        <v/>
      </c>
      <c r="DE73" s="144">
        <f>BA72*(1+'[6]Assets to be Leased'!$B$9)</f>
        <v>0</v>
      </c>
      <c r="DF73" s="144">
        <f>BI72*(1+'[6]Assets to be Leased'!$B$9)</f>
        <v>0</v>
      </c>
      <c r="DG73" s="144">
        <f>BQ72*(1+'[6]Assets to be Leased'!$B$9)</f>
        <v>0</v>
      </c>
      <c r="DH73" s="144">
        <f>BY72*(1+'[6]Assets to be Leased'!$B$9)</f>
        <v>0</v>
      </c>
      <c r="DI73" s="144">
        <f>CG72*(1+'[6]Assets to be Leased'!$B$9)</f>
        <v>0</v>
      </c>
      <c r="DJ73" s="144">
        <f>CO72*(1+'[6]Assets to be Leased'!$B$9)</f>
        <v>0</v>
      </c>
      <c r="DK73" s="176">
        <f>CW72*(1+'[6]Assets to be Leased'!$B$9)</f>
        <v>50517.370857587513</v>
      </c>
      <c r="DL73" s="176">
        <f t="shared" si="27"/>
        <v>50517.370857587513</v>
      </c>
      <c r="DM73" s="161">
        <f t="array" ref="DM73">IFERROR(SMALL(IF(DA73:DC73&gt;0,DA73:DC73),1),0)</f>
        <v>0</v>
      </c>
      <c r="DN73" s="78">
        <v>43922</v>
      </c>
      <c r="DO73" s="169">
        <f>IF(DS72+DR73&gt;DM73,HLOOKUP(DM73,DA73:$DL$82,1,FALSE),0)</f>
        <v>0</v>
      </c>
      <c r="DS73" s="225"/>
    </row>
    <row r="74" spans="1:123">
      <c r="A74" s="1784"/>
      <c r="B74" s="23" t="s">
        <v>63</v>
      </c>
      <c r="C74" s="8">
        <f>$BW42</f>
        <v>0</v>
      </c>
      <c r="D74" s="8">
        <f>$BW55</f>
        <v>0</v>
      </c>
      <c r="E74" s="8">
        <f>$BW68</f>
        <v>0</v>
      </c>
      <c r="F74" s="8">
        <f>$BW81</f>
        <v>0</v>
      </c>
      <c r="G74" s="8">
        <f>$BW94</f>
        <v>0</v>
      </c>
      <c r="H74" s="8">
        <f>$BW107</f>
        <v>0</v>
      </c>
      <c r="I74" s="8">
        <f>$BW120</f>
        <v>0</v>
      </c>
      <c r="J74" s="8">
        <f>$BW133</f>
        <v>0</v>
      </c>
      <c r="K74" s="8">
        <f>$BW146</f>
        <v>0</v>
      </c>
      <c r="L74" s="62"/>
      <c r="M74" s="12"/>
      <c r="O74" s="116">
        <f t="shared" si="78"/>
        <v>0</v>
      </c>
      <c r="P74" s="78">
        <v>43983</v>
      </c>
      <c r="Q74" s="80"/>
      <c r="R74" s="80"/>
      <c r="S74" s="80"/>
      <c r="T74" s="80"/>
      <c r="U74" s="80"/>
      <c r="V74" s="86"/>
      <c r="W74" s="116">
        <f t="shared" si="79"/>
        <v>0</v>
      </c>
      <c r="X74" s="78">
        <v>43983</v>
      </c>
      <c r="Y74" s="112"/>
      <c r="Z74" s="112"/>
      <c r="AA74" s="112"/>
      <c r="AB74" s="112"/>
      <c r="AC74" s="112"/>
      <c r="AE74" s="116">
        <f t="shared" si="80"/>
        <v>0</v>
      </c>
      <c r="AF74" s="78">
        <v>43983</v>
      </c>
      <c r="AG74" s="112"/>
      <c r="AH74" s="112"/>
      <c r="AI74" s="112"/>
      <c r="AJ74" s="112"/>
      <c r="AK74" s="112"/>
      <c r="AM74" s="116">
        <f t="shared" si="81"/>
        <v>0</v>
      </c>
      <c r="AN74" s="78">
        <v>43983</v>
      </c>
      <c r="AO74" s="112"/>
      <c r="AP74" s="112"/>
      <c r="AQ74" s="112"/>
      <c r="AR74" s="112"/>
      <c r="AS74" s="112"/>
      <c r="AU74" s="116">
        <f t="shared" si="82"/>
        <v>0</v>
      </c>
      <c r="AV74" s="78">
        <v>43983</v>
      </c>
      <c r="AW74" s="112"/>
      <c r="AX74" s="112"/>
      <c r="AY74" s="112"/>
      <c r="AZ74" s="112"/>
      <c r="BA74" s="112"/>
      <c r="BC74" s="116">
        <f t="shared" si="83"/>
        <v>0</v>
      </c>
      <c r="BD74" s="78">
        <v>43983</v>
      </c>
      <c r="BE74" s="112"/>
      <c r="BF74" s="112"/>
      <c r="BG74" s="112"/>
      <c r="BH74" s="112"/>
      <c r="BI74" s="112"/>
      <c r="BK74" s="116">
        <f t="shared" si="84"/>
        <v>0</v>
      </c>
      <c r="BL74" s="78">
        <v>43983</v>
      </c>
      <c r="BM74" s="112"/>
      <c r="BN74" s="112"/>
      <c r="BO74" s="112"/>
      <c r="BP74" s="112"/>
      <c r="BQ74" s="112"/>
      <c r="BS74" s="116">
        <f t="shared" si="85"/>
        <v>0</v>
      </c>
      <c r="BT74" s="78">
        <v>43983</v>
      </c>
      <c r="BU74" s="112"/>
      <c r="BV74" s="112"/>
      <c r="BW74" s="112"/>
      <c r="BX74" s="112"/>
      <c r="BY74" s="112"/>
      <c r="CA74" s="116">
        <f t="shared" si="86"/>
        <v>0</v>
      </c>
      <c r="CB74" s="78">
        <v>43983</v>
      </c>
      <c r="CC74" s="112"/>
      <c r="CD74" s="112"/>
      <c r="CE74" s="112"/>
      <c r="CF74" s="112"/>
      <c r="CG74" s="112"/>
      <c r="CI74" s="116">
        <f t="shared" si="87"/>
        <v>0</v>
      </c>
      <c r="CJ74" s="78">
        <v>43983</v>
      </c>
      <c r="CK74" s="112"/>
      <c r="CL74" s="112"/>
      <c r="CM74" s="112"/>
      <c r="CN74" s="112"/>
      <c r="CO74" s="112"/>
      <c r="CQ74" s="116">
        <f t="shared" si="88"/>
        <v>4</v>
      </c>
      <c r="CR74" s="78">
        <v>43983</v>
      </c>
      <c r="CS74" s="112">
        <f>[6]IRR!AL65</f>
        <v>7119.7567446554722</v>
      </c>
      <c r="CT74" s="5">
        <f>CS74/(1+'[6]Assets to be Leased'!$B$9)</f>
        <v>6137.721331599545</v>
      </c>
      <c r="CU74" s="112"/>
      <c r="CV74" s="112">
        <f>[6]IRR!AO65</f>
        <v>396.44060553494495</v>
      </c>
      <c r="CW74" s="112">
        <f>[6]IRR!AP65/(1+'[6]Assets to be Leased'!$B$9)</f>
        <v>32009.459063537433</v>
      </c>
      <c r="CZ74" s="78">
        <v>43952</v>
      </c>
      <c r="DA74" s="142">
        <f>IF(DO73&gt;=DA73,0,U73*(1+'[6]Assets to be Leased'!$B$9))</f>
        <v>0</v>
      </c>
      <c r="DB74" s="143">
        <f>IF(DO73&gt;=DB73,0,AC73*(1+'[6]Assets to be Leased'!$B$9))</f>
        <v>0</v>
      </c>
      <c r="DC74" s="143">
        <f>IF(DO73&gt;=DC73,0,AK73*(1+'[6]Assets to be Leased'!$B$9))</f>
        <v>0</v>
      </c>
      <c r="DD74" s="144" t="str">
        <f>IF(AS73="","",AS73*(1+'[6]Assets to be Leased'!$B$9))</f>
        <v/>
      </c>
      <c r="DE74" s="144">
        <f>BA73*(1+'[6]Assets to be Leased'!$B$9)</f>
        <v>0</v>
      </c>
      <c r="DF74" s="144">
        <f>BI73*(1+'[6]Assets to be Leased'!$B$9)</f>
        <v>0</v>
      </c>
      <c r="DG74" s="144">
        <f>BQ73*(1+'[6]Assets to be Leased'!$B$9)</f>
        <v>0</v>
      </c>
      <c r="DH74" s="144">
        <f>BY73*(1+'[6]Assets to be Leased'!$B$9)</f>
        <v>0</v>
      </c>
      <c r="DI74" s="144">
        <f>CG73*(1+'[6]Assets to be Leased'!$B$9)</f>
        <v>0</v>
      </c>
      <c r="DJ74" s="144">
        <f>CO73*(1+'[6]Assets to be Leased'!$B$9)</f>
        <v>0</v>
      </c>
      <c r="DK74" s="176">
        <f>CW73*(1+'[6]Assets to be Leased'!$B$9)</f>
        <v>43854.288652823947</v>
      </c>
      <c r="DL74" s="176">
        <f t="shared" si="27"/>
        <v>43854.288652823947</v>
      </c>
      <c r="DM74" s="161">
        <f t="array" ref="DM74">IFERROR(SMALL(IF(DA74:DC74&gt;0,DA74:DC74),1),0)</f>
        <v>0</v>
      </c>
      <c r="DN74" s="78">
        <v>43952</v>
      </c>
      <c r="DO74" s="169">
        <f>IF(DS73+DR74&gt;DM74,HLOOKUP(DM74,DA74:$DL$82,1,FALSE),0)</f>
        <v>0</v>
      </c>
      <c r="DS74" s="225"/>
    </row>
    <row r="75" spans="1:123">
      <c r="A75" s="1785"/>
      <c r="B75" s="64" t="s">
        <v>64</v>
      </c>
      <c r="C75" s="61">
        <f>IF(BY29-C74&lt;0,0,BY29-C74)</f>
        <v>0</v>
      </c>
      <c r="D75" s="61">
        <f>IF(BY42-D74&lt;0,0,BY42-D74)</f>
        <v>0</v>
      </c>
      <c r="E75" s="61">
        <f>IF(BY55-E74&lt;0,0,BY55-E74)</f>
        <v>0</v>
      </c>
      <c r="F75" s="61">
        <f>IF(BY68-F74&lt;0,0,BY68-F74)</f>
        <v>0</v>
      </c>
      <c r="G75" s="61">
        <f>IF(BY81-G74&lt;0,0,BY81-G74)</f>
        <v>0</v>
      </c>
      <c r="H75" s="61">
        <f>IF(BY94-H74&lt;0,0,BY94-H74)</f>
        <v>0</v>
      </c>
      <c r="I75" s="61">
        <f>IF(BY107-I74&lt;0,0,BY107-I74)</f>
        <v>0</v>
      </c>
      <c r="J75" s="61">
        <f>IF(BY120-J74&lt;0,0,BY120-J74)</f>
        <v>0</v>
      </c>
      <c r="K75" s="61">
        <f>IF(BY133-K74&lt;0,0,BY133-K74)</f>
        <v>0</v>
      </c>
      <c r="L75" s="65">
        <f>IF(BY146-L74&lt;0,0,BY146-L74)</f>
        <v>0</v>
      </c>
      <c r="M75" s="12"/>
      <c r="O75" s="116">
        <f t="shared" si="78"/>
        <v>0</v>
      </c>
      <c r="P75" s="78">
        <v>44013</v>
      </c>
      <c r="Q75" s="80"/>
      <c r="R75" s="80"/>
      <c r="S75" s="80"/>
      <c r="T75" s="80"/>
      <c r="U75" s="80"/>
      <c r="V75" s="86"/>
      <c r="W75" s="116">
        <f t="shared" si="79"/>
        <v>0</v>
      </c>
      <c r="X75" s="78">
        <v>44013</v>
      </c>
      <c r="Y75" s="112"/>
      <c r="Z75" s="112"/>
      <c r="AA75" s="112"/>
      <c r="AB75" s="112"/>
      <c r="AC75" s="112"/>
      <c r="AE75" s="116">
        <f t="shared" si="80"/>
        <v>0</v>
      </c>
      <c r="AF75" s="78">
        <v>44013</v>
      </c>
      <c r="AG75" s="112"/>
      <c r="AH75" s="112"/>
      <c r="AI75" s="112"/>
      <c r="AJ75" s="112"/>
      <c r="AK75" s="112"/>
      <c r="AM75" s="116">
        <f t="shared" si="81"/>
        <v>0</v>
      </c>
      <c r="AN75" s="78">
        <v>44013</v>
      </c>
      <c r="AO75" s="112"/>
      <c r="AP75" s="112"/>
      <c r="AQ75" s="112"/>
      <c r="AR75" s="112"/>
      <c r="AS75" s="112"/>
      <c r="AU75" s="116">
        <f t="shared" si="82"/>
        <v>0</v>
      </c>
      <c r="AV75" s="78">
        <v>44013</v>
      </c>
      <c r="AW75" s="112"/>
      <c r="AX75" s="112"/>
      <c r="AY75" s="112"/>
      <c r="AZ75" s="112"/>
      <c r="BA75" s="112"/>
      <c r="BC75" s="116">
        <f t="shared" si="83"/>
        <v>0</v>
      </c>
      <c r="BD75" s="78">
        <v>44013</v>
      </c>
      <c r="BE75" s="112"/>
      <c r="BF75" s="112"/>
      <c r="BG75" s="112"/>
      <c r="BH75" s="112"/>
      <c r="BI75" s="112"/>
      <c r="BK75" s="116">
        <f t="shared" si="84"/>
        <v>0</v>
      </c>
      <c r="BL75" s="78">
        <v>44013</v>
      </c>
      <c r="BM75" s="112"/>
      <c r="BN75" s="112"/>
      <c r="BO75" s="112"/>
      <c r="BP75" s="112"/>
      <c r="BQ75" s="112"/>
      <c r="BS75" s="116">
        <f t="shared" si="85"/>
        <v>0</v>
      </c>
      <c r="BT75" s="78">
        <v>44013</v>
      </c>
      <c r="BU75" s="112"/>
      <c r="BV75" s="112"/>
      <c r="BW75" s="112"/>
      <c r="BX75" s="112"/>
      <c r="BY75" s="112"/>
      <c r="CA75" s="116">
        <f t="shared" si="86"/>
        <v>0</v>
      </c>
      <c r="CB75" s="78">
        <v>44013</v>
      </c>
      <c r="CC75" s="112"/>
      <c r="CD75" s="112"/>
      <c r="CE75" s="112"/>
      <c r="CF75" s="112"/>
      <c r="CG75" s="112"/>
      <c r="CI75" s="116">
        <f t="shared" si="87"/>
        <v>0</v>
      </c>
      <c r="CJ75" s="78">
        <v>44013</v>
      </c>
      <c r="CK75" s="112"/>
      <c r="CL75" s="112"/>
      <c r="CM75" s="112"/>
      <c r="CN75" s="112"/>
      <c r="CO75" s="112"/>
      <c r="CQ75" s="116">
        <f t="shared" si="88"/>
        <v>5</v>
      </c>
      <c r="CR75" s="78">
        <v>44013</v>
      </c>
      <c r="CS75" s="112">
        <f>[6]IRR!AL66</f>
        <v>7119.7567446554722</v>
      </c>
      <c r="CT75" s="5">
        <f>CS75/(1+'[6]Assets to be Leased'!$B$9)</f>
        <v>6137.721331599545</v>
      </c>
      <c r="CU75" s="112"/>
      <c r="CV75" s="112">
        <f>[6]IRR!AO66</f>
        <v>335.66215938349478</v>
      </c>
      <c r="CW75" s="112">
        <f>[6]IRR!AP66/(1+'[6]Assets to be Leased'!$B$9)</f>
        <v>26161.101662440899</v>
      </c>
      <c r="CZ75" s="78">
        <v>43983</v>
      </c>
      <c r="DA75" s="142">
        <f>IF(DO74&gt;=DA74,0,U74*(1+'[6]Assets to be Leased'!$B$9))</f>
        <v>0</v>
      </c>
      <c r="DB75" s="143">
        <f>IF(DO74&gt;=DB74,0,AC74*(1+'[6]Assets to be Leased'!$B$9))</f>
        <v>0</v>
      </c>
      <c r="DC75" s="143">
        <f>IF(DO74&gt;=DC74,0,AK74*(1+'[6]Assets to be Leased'!$B$9))</f>
        <v>0</v>
      </c>
      <c r="DD75" s="144" t="str">
        <f>IF(AS74="","",AS74*(1+'[6]Assets to be Leased'!$B$9))</f>
        <v/>
      </c>
      <c r="DE75" s="144">
        <f>BA74*(1+'[6]Assets to be Leased'!$B$9)</f>
        <v>0</v>
      </c>
      <c r="DF75" s="144">
        <f>BI74*(1+'[6]Assets to be Leased'!$B$9)</f>
        <v>0</v>
      </c>
      <c r="DG75" s="144">
        <f>BQ74*(1+'[6]Assets to be Leased'!$B$9)</f>
        <v>0</v>
      </c>
      <c r="DH75" s="144">
        <f>BY74*(1+'[6]Assets to be Leased'!$B$9)</f>
        <v>0</v>
      </c>
      <c r="DI75" s="144">
        <f>CG74*(1+'[6]Assets to be Leased'!$B$9)</f>
        <v>0</v>
      </c>
      <c r="DJ75" s="144">
        <f>CO74*(1+'[6]Assets to be Leased'!$B$9)</f>
        <v>0</v>
      </c>
      <c r="DK75" s="176">
        <f>CW74*(1+'[6]Assets to be Leased'!$B$9)</f>
        <v>37130.972513703418</v>
      </c>
      <c r="DL75" s="176">
        <f t="shared" si="27"/>
        <v>37130.972513703418</v>
      </c>
      <c r="DM75" s="161">
        <f t="array" ref="DM75">IFERROR(SMALL(IF(DA75:DC75&gt;0,DA75:DC75),1),0)</f>
        <v>0</v>
      </c>
      <c r="DN75" s="78">
        <v>43983</v>
      </c>
      <c r="DO75" s="169">
        <f>IF(DS74+DR75&gt;DM75,HLOOKUP(DM75,DA75:$DL$82,1,FALSE),0)</f>
        <v>0</v>
      </c>
      <c r="DS75" s="225"/>
    </row>
    <row r="76" spans="1:123">
      <c r="A76" s="1783">
        <f>B12</f>
        <v>0</v>
      </c>
      <c r="B76" s="122" t="s">
        <v>67</v>
      </c>
      <c r="C76" s="11">
        <f>$CC29</f>
        <v>0</v>
      </c>
      <c r="D76" s="11">
        <f>$CC42</f>
        <v>0</v>
      </c>
      <c r="E76" s="11">
        <f>$CC55</f>
        <v>0</v>
      </c>
      <c r="F76" s="11">
        <f>$CC68</f>
        <v>0</v>
      </c>
      <c r="G76" s="11">
        <f>$CC81</f>
        <v>0</v>
      </c>
      <c r="H76" s="11">
        <f>$CC94</f>
        <v>0</v>
      </c>
      <c r="I76" s="11">
        <f>$CC107</f>
        <v>0</v>
      </c>
      <c r="J76" s="11">
        <f>$CC120</f>
        <v>0</v>
      </c>
      <c r="K76" s="11">
        <f>$CC133</f>
        <v>0</v>
      </c>
      <c r="L76" s="74">
        <f>$CC146</f>
        <v>0</v>
      </c>
      <c r="M76" s="12"/>
      <c r="O76" s="116">
        <f t="shared" si="78"/>
        <v>0</v>
      </c>
      <c r="P76" s="78">
        <v>44044</v>
      </c>
      <c r="Q76" s="80"/>
      <c r="R76" s="80"/>
      <c r="S76" s="80"/>
      <c r="T76" s="80"/>
      <c r="U76" s="80"/>
      <c r="V76" s="86"/>
      <c r="W76" s="116">
        <f t="shared" si="79"/>
        <v>0</v>
      </c>
      <c r="X76" s="78">
        <v>44044</v>
      </c>
      <c r="Y76" s="112"/>
      <c r="Z76" s="112"/>
      <c r="AA76" s="112"/>
      <c r="AB76" s="112"/>
      <c r="AC76" s="112"/>
      <c r="AE76" s="116">
        <f t="shared" si="80"/>
        <v>0</v>
      </c>
      <c r="AF76" s="78">
        <v>44044</v>
      </c>
      <c r="AG76" s="112"/>
      <c r="AH76" s="112"/>
      <c r="AI76" s="112"/>
      <c r="AJ76" s="112"/>
      <c r="AK76" s="112"/>
      <c r="AM76" s="116">
        <f t="shared" si="81"/>
        <v>0</v>
      </c>
      <c r="AN76" s="78">
        <v>44044</v>
      </c>
      <c r="AO76" s="112"/>
      <c r="AP76" s="112"/>
      <c r="AQ76" s="112"/>
      <c r="AR76" s="112"/>
      <c r="AS76" s="112"/>
      <c r="AU76" s="116">
        <f t="shared" si="82"/>
        <v>0</v>
      </c>
      <c r="AV76" s="78">
        <v>44044</v>
      </c>
      <c r="AW76" s="112"/>
      <c r="AX76" s="112"/>
      <c r="AY76" s="112"/>
      <c r="AZ76" s="112"/>
      <c r="BA76" s="112"/>
      <c r="BC76" s="116">
        <f t="shared" si="83"/>
        <v>0</v>
      </c>
      <c r="BD76" s="78">
        <v>44044</v>
      </c>
      <c r="BE76" s="112"/>
      <c r="BF76" s="112"/>
      <c r="BG76" s="112"/>
      <c r="BH76" s="112"/>
      <c r="BI76" s="112"/>
      <c r="BK76" s="116">
        <f t="shared" si="84"/>
        <v>0</v>
      </c>
      <c r="BL76" s="78">
        <v>44044</v>
      </c>
      <c r="BM76" s="112"/>
      <c r="BN76" s="112"/>
      <c r="BO76" s="112"/>
      <c r="BP76" s="112"/>
      <c r="BQ76" s="112"/>
      <c r="BS76" s="116">
        <f t="shared" si="85"/>
        <v>0</v>
      </c>
      <c r="BT76" s="78">
        <v>44044</v>
      </c>
      <c r="BU76" s="112"/>
      <c r="BV76" s="112"/>
      <c r="BW76" s="112"/>
      <c r="BX76" s="112"/>
      <c r="BY76" s="112"/>
      <c r="CA76" s="116">
        <f t="shared" si="86"/>
        <v>0</v>
      </c>
      <c r="CB76" s="78">
        <v>44044</v>
      </c>
      <c r="CC76" s="112"/>
      <c r="CD76" s="112"/>
      <c r="CE76" s="112"/>
      <c r="CF76" s="112"/>
      <c r="CG76" s="112"/>
      <c r="CI76" s="116">
        <f t="shared" si="87"/>
        <v>0</v>
      </c>
      <c r="CJ76" s="78">
        <v>44044</v>
      </c>
      <c r="CK76" s="112"/>
      <c r="CL76" s="112"/>
      <c r="CM76" s="112"/>
      <c r="CN76" s="112"/>
      <c r="CO76" s="112"/>
      <c r="CQ76" s="116">
        <f t="shared" si="88"/>
        <v>6</v>
      </c>
      <c r="CR76" s="78">
        <v>44044</v>
      </c>
      <c r="CS76" s="112">
        <f>[6]IRR!AL67</f>
        <v>7119.7567446554722</v>
      </c>
      <c r="CT76" s="5">
        <f>CS76/(1+'[6]Assets to be Leased'!$B$9)</f>
        <v>6137.721331599545</v>
      </c>
      <c r="CU76" s="112"/>
      <c r="CV76" s="112">
        <f>[6]IRR!AO67</f>
        <v>274.33427907780487</v>
      </c>
      <c r="CW76" s="112">
        <f>[6]IRR!AP67/(1+'[6]Assets to be Leased'!$B$9)</f>
        <v>20259.875399011875</v>
      </c>
      <c r="CZ76" s="78">
        <v>44013</v>
      </c>
      <c r="DA76" s="142">
        <f>IF(DO75&gt;=DA75,0,U75*(1+'[6]Assets to be Leased'!$B$9))</f>
        <v>0</v>
      </c>
      <c r="DB76" s="143">
        <f>IF(DO75&gt;=DB75,0,AC75*(1+'[6]Assets to be Leased'!$B$9))</f>
        <v>0</v>
      </c>
      <c r="DC76" s="143">
        <f>IF(DO75&gt;=DC75,0,AK75*(1+'[6]Assets to be Leased'!$B$9))</f>
        <v>0</v>
      </c>
      <c r="DD76" s="144" t="str">
        <f>IF(AS75="","",AS75*(1+'[6]Assets to be Leased'!$B$9))</f>
        <v/>
      </c>
      <c r="DE76" s="144">
        <f>BA75*(1+'[6]Assets to be Leased'!$B$9)</f>
        <v>0</v>
      </c>
      <c r="DF76" s="144">
        <f>BI75*(1+'[6]Assets to be Leased'!$B$9)</f>
        <v>0</v>
      </c>
      <c r="DG76" s="144">
        <f>BQ75*(1+'[6]Assets to be Leased'!$B$9)</f>
        <v>0</v>
      </c>
      <c r="DH76" s="144">
        <f>BY75*(1+'[6]Assets to be Leased'!$B$9)</f>
        <v>0</v>
      </c>
      <c r="DI76" s="144">
        <f>CG75*(1+'[6]Assets to be Leased'!$B$9)</f>
        <v>0</v>
      </c>
      <c r="DJ76" s="144">
        <f>CO75*(1+'[6]Assets to be Leased'!$B$9)</f>
        <v>0</v>
      </c>
      <c r="DK76" s="176">
        <f>CW75*(1+'[6]Assets to be Leased'!$B$9)</f>
        <v>30346.877928431441</v>
      </c>
      <c r="DL76" s="176">
        <f t="shared" si="27"/>
        <v>30346.877928431441</v>
      </c>
      <c r="DM76" s="161">
        <f t="array" ref="DM76">IFERROR(SMALL(IF(DA76:DC76&gt;0,DA76:DC76),1),0)</f>
        <v>0</v>
      </c>
      <c r="DN76" s="78">
        <v>44013</v>
      </c>
      <c r="DO76" s="169">
        <f>IF(DS75+DR76&gt;DM76,HLOOKUP(DM76,DA76:$DL$82,1,FALSE),0)</f>
        <v>0</v>
      </c>
      <c r="DS76" s="225"/>
    </row>
    <row r="77" spans="1:123">
      <c r="A77" s="1784"/>
      <c r="B77" s="23" t="s">
        <v>69</v>
      </c>
      <c r="C77" s="9">
        <f>$CD29</f>
        <v>0</v>
      </c>
      <c r="D77" s="9">
        <f>$CD42</f>
        <v>0</v>
      </c>
      <c r="E77" s="9">
        <f>$CD55</f>
        <v>0</v>
      </c>
      <c r="F77" s="9">
        <f>$CD68</f>
        <v>0</v>
      </c>
      <c r="G77" s="9">
        <f>$CD81</f>
        <v>0</v>
      </c>
      <c r="H77" s="9">
        <f>$CD94</f>
        <v>0</v>
      </c>
      <c r="I77" s="9">
        <f>$CD107</f>
        <v>0</v>
      </c>
      <c r="J77" s="9">
        <f>$CD120</f>
        <v>0</v>
      </c>
      <c r="K77" s="9">
        <f>$CD133</f>
        <v>0</v>
      </c>
      <c r="L77" s="22">
        <f>$CD146</f>
        <v>0</v>
      </c>
      <c r="M77" s="12"/>
      <c r="O77" s="116">
        <f t="shared" si="78"/>
        <v>0</v>
      </c>
      <c r="P77" s="78">
        <v>44075</v>
      </c>
      <c r="Q77" s="80"/>
      <c r="R77" s="80"/>
      <c r="S77" s="80"/>
      <c r="T77" s="80"/>
      <c r="U77" s="80"/>
      <c r="V77" s="86"/>
      <c r="W77" s="116">
        <f t="shared" si="79"/>
        <v>0</v>
      </c>
      <c r="X77" s="78">
        <v>44075</v>
      </c>
      <c r="Y77" s="112"/>
      <c r="Z77" s="112"/>
      <c r="AA77" s="112"/>
      <c r="AB77" s="112"/>
      <c r="AC77" s="112"/>
      <c r="AE77" s="116">
        <f t="shared" si="80"/>
        <v>0</v>
      </c>
      <c r="AF77" s="78">
        <v>44075</v>
      </c>
      <c r="AG77" s="112"/>
      <c r="AH77" s="112"/>
      <c r="AI77" s="112"/>
      <c r="AJ77" s="112"/>
      <c r="AK77" s="112"/>
      <c r="AM77" s="116">
        <f t="shared" si="81"/>
        <v>0</v>
      </c>
      <c r="AN77" s="78">
        <v>44075</v>
      </c>
      <c r="AO77" s="112"/>
      <c r="AP77" s="112"/>
      <c r="AQ77" s="112"/>
      <c r="AR77" s="112"/>
      <c r="AS77" s="112"/>
      <c r="AU77" s="116">
        <f t="shared" si="82"/>
        <v>0</v>
      </c>
      <c r="AV77" s="78">
        <v>44075</v>
      </c>
      <c r="AW77" s="112"/>
      <c r="AX77" s="112"/>
      <c r="AY77" s="112"/>
      <c r="AZ77" s="112"/>
      <c r="BA77" s="112"/>
      <c r="BC77" s="116">
        <f t="shared" si="83"/>
        <v>0</v>
      </c>
      <c r="BD77" s="78">
        <v>44075</v>
      </c>
      <c r="BE77" s="112"/>
      <c r="BF77" s="112"/>
      <c r="BG77" s="112"/>
      <c r="BH77" s="112"/>
      <c r="BI77" s="112"/>
      <c r="BK77" s="116">
        <f t="shared" si="84"/>
        <v>0</v>
      </c>
      <c r="BL77" s="78">
        <v>44075</v>
      </c>
      <c r="BM77" s="112"/>
      <c r="BN77" s="112"/>
      <c r="BO77" s="112"/>
      <c r="BP77" s="112"/>
      <c r="BQ77" s="112"/>
      <c r="BS77" s="116">
        <f t="shared" si="85"/>
        <v>0</v>
      </c>
      <c r="BT77" s="78">
        <v>44075</v>
      </c>
      <c r="BU77" s="112"/>
      <c r="BV77" s="112"/>
      <c r="BW77" s="112"/>
      <c r="BX77" s="112"/>
      <c r="BY77" s="112"/>
      <c r="CA77" s="116">
        <f t="shared" si="86"/>
        <v>0</v>
      </c>
      <c r="CB77" s="78">
        <v>44075</v>
      </c>
      <c r="CC77" s="112"/>
      <c r="CD77" s="112"/>
      <c r="CE77" s="112"/>
      <c r="CF77" s="112"/>
      <c r="CG77" s="112"/>
      <c r="CI77" s="116">
        <f t="shared" si="87"/>
        <v>0</v>
      </c>
      <c r="CJ77" s="78">
        <v>44075</v>
      </c>
      <c r="CK77" s="112"/>
      <c r="CL77" s="112"/>
      <c r="CM77" s="112"/>
      <c r="CN77" s="112"/>
      <c r="CO77" s="112"/>
      <c r="CQ77" s="116">
        <f t="shared" si="88"/>
        <v>7</v>
      </c>
      <c r="CR77" s="78">
        <v>44075</v>
      </c>
      <c r="CS77" s="112">
        <f>[6]IRR!AL68</f>
        <v>7119.7567446554722</v>
      </c>
      <c r="CT77" s="5">
        <f>CS77/(1+'[6]Assets to be Leased'!$B$9)</f>
        <v>6137.721331599545</v>
      </c>
      <c r="CU77" s="112"/>
      <c r="CV77" s="112">
        <f>[6]IRR!AO68</f>
        <v>212.45199776023128</v>
      </c>
      <c r="CW77" s="112">
        <f>[6]IRR!AP68/(1+'[6]Assets to be Leased'!$B$9)</f>
        <v>14305.302341343562</v>
      </c>
      <c r="CZ77" s="78">
        <v>44044</v>
      </c>
      <c r="DA77" s="142">
        <f>IF(DO76&gt;=DA76,0,U76*(1+'[6]Assets to be Leased'!$B$9))</f>
        <v>0</v>
      </c>
      <c r="DB77" s="143">
        <f>IF(DO76&gt;=DB76,0,AC76*(1+'[6]Assets to be Leased'!$B$9))</f>
        <v>0</v>
      </c>
      <c r="DC77" s="143">
        <f>IF(DO76&gt;=DC76,0,AK76*(1+'[6]Assets to be Leased'!$B$9))</f>
        <v>0</v>
      </c>
      <c r="DD77" s="144" t="str">
        <f>IF(AS76="","",AS76*(1+'[6]Assets to be Leased'!$B$9))</f>
        <v/>
      </c>
      <c r="DE77" s="144">
        <f>BA76*(1+'[6]Assets to be Leased'!$B$9)</f>
        <v>0</v>
      </c>
      <c r="DF77" s="144">
        <f>BI76*(1+'[6]Assets to be Leased'!$B$9)</f>
        <v>0</v>
      </c>
      <c r="DG77" s="144">
        <f>BQ76*(1+'[6]Assets to be Leased'!$B$9)</f>
        <v>0</v>
      </c>
      <c r="DH77" s="144">
        <f>BY76*(1+'[6]Assets to be Leased'!$B$9)</f>
        <v>0</v>
      </c>
      <c r="DI77" s="144">
        <f>CG76*(1+'[6]Assets to be Leased'!$B$9)</f>
        <v>0</v>
      </c>
      <c r="DJ77" s="144">
        <f>CO76*(1+'[6]Assets to be Leased'!$B$9)</f>
        <v>0</v>
      </c>
      <c r="DK77" s="176">
        <f>CW76*(1+'[6]Assets to be Leased'!$B$9)</f>
        <v>23501.455462853773</v>
      </c>
      <c r="DL77" s="176">
        <f t="shared" si="27"/>
        <v>23501.455462853773</v>
      </c>
      <c r="DM77" s="161">
        <f t="array" ref="DM77">IFERROR(SMALL(IF(DA77:DC77&gt;0,DA77:DC77),1),0)</f>
        <v>0</v>
      </c>
      <c r="DN77" s="78">
        <v>44044</v>
      </c>
      <c r="DO77" s="169">
        <f>IF(DS76+DR77&gt;DM77,HLOOKUP(DM77,DA77:$DL$82,1,FALSE),0)</f>
        <v>0</v>
      </c>
      <c r="DS77" s="225"/>
    </row>
    <row r="78" spans="1:123">
      <c r="A78" s="1784"/>
      <c r="B78" s="23" t="s">
        <v>68</v>
      </c>
      <c r="C78" s="9">
        <f>C76-C77</f>
        <v>0</v>
      </c>
      <c r="D78" s="9">
        <f>D76-D77</f>
        <v>0</v>
      </c>
      <c r="E78" s="9">
        <f>E76-E77</f>
        <v>0</v>
      </c>
      <c r="F78" s="9">
        <f t="shared" ref="F78:L78" si="90">F76-F77</f>
        <v>0</v>
      </c>
      <c r="G78" s="9">
        <f t="shared" si="90"/>
        <v>0</v>
      </c>
      <c r="H78" s="9">
        <f t="shared" si="90"/>
        <v>0</v>
      </c>
      <c r="I78" s="9">
        <f t="shared" si="90"/>
        <v>0</v>
      </c>
      <c r="J78" s="9">
        <f t="shared" si="90"/>
        <v>0</v>
      </c>
      <c r="K78" s="9">
        <f t="shared" si="90"/>
        <v>0</v>
      </c>
      <c r="L78" s="22">
        <f t="shared" si="90"/>
        <v>0</v>
      </c>
      <c r="M78" s="12"/>
      <c r="O78" s="116">
        <f t="shared" si="78"/>
        <v>0</v>
      </c>
      <c r="P78" s="78">
        <v>44105</v>
      </c>
      <c r="Q78" s="80"/>
      <c r="R78" s="80"/>
      <c r="S78" s="80"/>
      <c r="T78" s="80"/>
      <c r="U78" s="80"/>
      <c r="V78" s="86"/>
      <c r="W78" s="116">
        <f t="shared" si="79"/>
        <v>0</v>
      </c>
      <c r="X78" s="78">
        <v>44105</v>
      </c>
      <c r="Y78" s="112"/>
      <c r="Z78" s="112"/>
      <c r="AA78" s="112"/>
      <c r="AB78" s="112"/>
      <c r="AC78" s="112"/>
      <c r="AE78" s="116">
        <f t="shared" si="80"/>
        <v>0</v>
      </c>
      <c r="AF78" s="78">
        <v>44105</v>
      </c>
      <c r="AG78" s="112"/>
      <c r="AH78" s="112"/>
      <c r="AI78" s="112"/>
      <c r="AJ78" s="112"/>
      <c r="AK78" s="112"/>
      <c r="AM78" s="116">
        <f t="shared" si="81"/>
        <v>0</v>
      </c>
      <c r="AN78" s="78">
        <v>44105</v>
      </c>
      <c r="AO78" s="112"/>
      <c r="AP78" s="112"/>
      <c r="AQ78" s="112"/>
      <c r="AR78" s="112"/>
      <c r="AS78" s="112"/>
      <c r="AU78" s="116">
        <f t="shared" si="82"/>
        <v>0</v>
      </c>
      <c r="AV78" s="78">
        <v>44105</v>
      </c>
      <c r="AW78" s="112"/>
      <c r="AX78" s="112"/>
      <c r="AY78" s="112"/>
      <c r="AZ78" s="112"/>
      <c r="BA78" s="112"/>
      <c r="BC78" s="116">
        <f t="shared" si="83"/>
        <v>0</v>
      </c>
      <c r="BD78" s="78">
        <v>44105</v>
      </c>
      <c r="BE78" s="112"/>
      <c r="BF78" s="112"/>
      <c r="BG78" s="112"/>
      <c r="BH78" s="112"/>
      <c r="BI78" s="112"/>
      <c r="BK78" s="116">
        <f t="shared" si="84"/>
        <v>0</v>
      </c>
      <c r="BL78" s="78">
        <v>44105</v>
      </c>
      <c r="BM78" s="112"/>
      <c r="BN78" s="112"/>
      <c r="BO78" s="112"/>
      <c r="BP78" s="112"/>
      <c r="BQ78" s="112"/>
      <c r="BS78" s="116">
        <f t="shared" si="85"/>
        <v>0</v>
      </c>
      <c r="BT78" s="78">
        <v>44105</v>
      </c>
      <c r="BU78" s="112"/>
      <c r="BV78" s="112"/>
      <c r="BW78" s="112"/>
      <c r="BX78" s="112"/>
      <c r="BY78" s="112"/>
      <c r="CA78" s="116">
        <f t="shared" si="86"/>
        <v>0</v>
      </c>
      <c r="CB78" s="78">
        <v>44105</v>
      </c>
      <c r="CC78" s="112"/>
      <c r="CD78" s="112"/>
      <c r="CE78" s="112"/>
      <c r="CF78" s="112"/>
      <c r="CG78" s="112"/>
      <c r="CI78" s="116">
        <f t="shared" si="87"/>
        <v>0</v>
      </c>
      <c r="CJ78" s="78">
        <v>44105</v>
      </c>
      <c r="CK78" s="112"/>
      <c r="CL78" s="112"/>
      <c r="CM78" s="112"/>
      <c r="CN78" s="112"/>
      <c r="CO78" s="112"/>
      <c r="CQ78" s="116">
        <f t="shared" si="88"/>
        <v>8</v>
      </c>
      <c r="CR78" s="78">
        <v>44105</v>
      </c>
      <c r="CS78" s="112">
        <f>[6]IRR!AL69</f>
        <v>7119.7567446554722</v>
      </c>
      <c r="CT78" s="5">
        <f>CS78/(1+'[6]Assets to be Leased'!$B$9)</f>
        <v>6137.721331599545</v>
      </c>
      <c r="CU78" s="112"/>
      <c r="CV78" s="112">
        <f>[6]IRR!AO69</f>
        <v>150.01030367298225</v>
      </c>
      <c r="CW78" s="112">
        <f>[6]IRR!AP69/(1+'[6]Assets to be Leased'!$B$9)</f>
        <v>8296.9002370483122</v>
      </c>
      <c r="CZ78" s="78">
        <v>44075</v>
      </c>
      <c r="DA78" s="142">
        <f>IF(DO77&gt;=DA77,0,U77*(1+'[6]Assets to be Leased'!$B$9))</f>
        <v>0</v>
      </c>
      <c r="DB78" s="143">
        <f>IF(DO77&gt;=DB77,0,AC77*(1+'[6]Assets to be Leased'!$B$9))</f>
        <v>0</v>
      </c>
      <c r="DC78" s="143">
        <f>IF(DO77&gt;=DC77,0,AK77*(1+'[6]Assets to be Leased'!$B$9))</f>
        <v>0</v>
      </c>
      <c r="DD78" s="144" t="str">
        <f>IF(AS77="","",AS77*(1+'[6]Assets to be Leased'!$B$9))</f>
        <v/>
      </c>
      <c r="DE78" s="144">
        <f>BA77*(1+'[6]Assets to be Leased'!$B$9)</f>
        <v>0</v>
      </c>
      <c r="DF78" s="144">
        <f>BI77*(1+'[6]Assets to be Leased'!$B$9)</f>
        <v>0</v>
      </c>
      <c r="DG78" s="144">
        <f>BQ77*(1+'[6]Assets to be Leased'!$B$9)</f>
        <v>0</v>
      </c>
      <c r="DH78" s="144">
        <f>BY77*(1+'[6]Assets to be Leased'!$B$9)</f>
        <v>0</v>
      </c>
      <c r="DI78" s="144">
        <f>CG77*(1+'[6]Assets to be Leased'!$B$9)</f>
        <v>0</v>
      </c>
      <c r="DJ78" s="144">
        <f>CO77*(1+'[6]Assets to be Leased'!$B$9)</f>
        <v>0</v>
      </c>
      <c r="DK78" s="176">
        <f>CW77*(1+'[6]Assets to be Leased'!$B$9)</f>
        <v>16594.150715958531</v>
      </c>
      <c r="DL78" s="176">
        <f t="shared" si="27"/>
        <v>16594.150715958531</v>
      </c>
      <c r="DM78" s="161">
        <f t="array" ref="DM78">IFERROR(SMALL(IF(DA78:DC78&gt;0,DA78:DC78),1),0)</f>
        <v>0</v>
      </c>
      <c r="DN78" s="78">
        <v>44075</v>
      </c>
      <c r="DO78" s="169">
        <f>IF(DS77+DR78&gt;DM78,HLOOKUP(DM78,DA78:$DL$82,1,FALSE),0)</f>
        <v>0</v>
      </c>
      <c r="DS78" s="225"/>
    </row>
    <row r="79" spans="1:123">
      <c r="A79" s="1784"/>
      <c r="B79" s="23" t="s">
        <v>54</v>
      </c>
      <c r="C79" s="63">
        <f>$CF29</f>
        <v>0</v>
      </c>
      <c r="D79" s="8">
        <f>$CF42</f>
        <v>0</v>
      </c>
      <c r="E79" s="8">
        <f>$CF55</f>
        <v>0</v>
      </c>
      <c r="F79" s="8">
        <f>$CF68</f>
        <v>0</v>
      </c>
      <c r="G79" s="8">
        <f>$CF81</f>
        <v>0</v>
      </c>
      <c r="H79" s="8">
        <f>$CF94</f>
        <v>0</v>
      </c>
      <c r="I79" s="8">
        <f>$CF107</f>
        <v>0</v>
      </c>
      <c r="J79" s="8">
        <f>$CF120</f>
        <v>0</v>
      </c>
      <c r="K79" s="8">
        <f>$CF133</f>
        <v>0</v>
      </c>
      <c r="L79" s="62">
        <f>$CF146</f>
        <v>0</v>
      </c>
      <c r="M79" s="12"/>
      <c r="O79" s="116">
        <f t="shared" si="78"/>
        <v>0</v>
      </c>
      <c r="P79" s="78">
        <v>44136</v>
      </c>
      <c r="Q79" s="80"/>
      <c r="R79" s="80"/>
      <c r="S79" s="80"/>
      <c r="T79" s="80"/>
      <c r="U79" s="80"/>
      <c r="V79" s="86"/>
      <c r="W79" s="116">
        <f t="shared" si="79"/>
        <v>0</v>
      </c>
      <c r="X79" s="78">
        <v>44136</v>
      </c>
      <c r="Y79" s="112"/>
      <c r="Z79" s="112"/>
      <c r="AA79" s="112"/>
      <c r="AB79" s="112"/>
      <c r="AC79" s="112"/>
      <c r="AE79" s="116">
        <f t="shared" si="80"/>
        <v>0</v>
      </c>
      <c r="AF79" s="78">
        <v>44136</v>
      </c>
      <c r="AG79" s="112"/>
      <c r="AH79" s="112"/>
      <c r="AI79" s="112"/>
      <c r="AJ79" s="112"/>
      <c r="AK79" s="112"/>
      <c r="AM79" s="116">
        <f t="shared" si="81"/>
        <v>0</v>
      </c>
      <c r="AN79" s="78">
        <v>44136</v>
      </c>
      <c r="AO79" s="112"/>
      <c r="AP79" s="112"/>
      <c r="AQ79" s="112"/>
      <c r="AR79" s="112"/>
      <c r="AS79" s="112"/>
      <c r="AU79" s="116">
        <f t="shared" si="82"/>
        <v>0</v>
      </c>
      <c r="AV79" s="78">
        <v>44136</v>
      </c>
      <c r="AW79" s="112"/>
      <c r="AX79" s="112"/>
      <c r="AY79" s="112"/>
      <c r="AZ79" s="112"/>
      <c r="BA79" s="112"/>
      <c r="BC79" s="116">
        <f t="shared" si="83"/>
        <v>0</v>
      </c>
      <c r="BD79" s="78">
        <v>44136</v>
      </c>
      <c r="BE79" s="112"/>
      <c r="BF79" s="112"/>
      <c r="BG79" s="112"/>
      <c r="BH79" s="112"/>
      <c r="BI79" s="112"/>
      <c r="BK79" s="116">
        <f t="shared" si="84"/>
        <v>0</v>
      </c>
      <c r="BL79" s="78">
        <v>44136</v>
      </c>
      <c r="BM79" s="112"/>
      <c r="BN79" s="112"/>
      <c r="BO79" s="112"/>
      <c r="BP79" s="112"/>
      <c r="BQ79" s="112"/>
      <c r="BS79" s="116">
        <f t="shared" si="85"/>
        <v>0</v>
      </c>
      <c r="BT79" s="78">
        <v>44136</v>
      </c>
      <c r="BU79" s="112"/>
      <c r="BV79" s="112"/>
      <c r="BW79" s="112"/>
      <c r="BX79" s="112"/>
      <c r="BY79" s="112"/>
      <c r="CA79" s="116">
        <f t="shared" si="86"/>
        <v>0</v>
      </c>
      <c r="CB79" s="78">
        <v>44136</v>
      </c>
      <c r="CC79" s="112"/>
      <c r="CD79" s="112"/>
      <c r="CE79" s="112"/>
      <c r="CF79" s="112"/>
      <c r="CG79" s="112"/>
      <c r="CI79" s="116">
        <f t="shared" si="87"/>
        <v>0</v>
      </c>
      <c r="CJ79" s="78">
        <v>44136</v>
      </c>
      <c r="CK79" s="112"/>
      <c r="CL79" s="112"/>
      <c r="CM79" s="112"/>
      <c r="CN79" s="112"/>
      <c r="CO79" s="112"/>
      <c r="CQ79" s="116">
        <f t="shared" si="88"/>
        <v>9</v>
      </c>
      <c r="CR79" s="78">
        <v>44136</v>
      </c>
      <c r="CS79" s="112">
        <f>[6]IRR!AL70</f>
        <v>7119.7567446554722</v>
      </c>
      <c r="CT79" s="5">
        <f>CS79/(1+'[6]Assets to be Leased'!$B$9)</f>
        <v>6137.721331599545</v>
      </c>
      <c r="CU79" s="112"/>
      <c r="CV79" s="112">
        <f>[6]IRR!AO70</f>
        <v>87.004139752222827</v>
      </c>
      <c r="CW79" s="112">
        <f>[6]IRR!AP70/(1+'[6]Assets to be Leased'!$B$9)</f>
        <v>2234.1824742006825</v>
      </c>
      <c r="CZ79" s="78">
        <v>44105</v>
      </c>
      <c r="DA79" s="142">
        <f>IF(DO78&gt;=DA78,0,U78*(1+'[6]Assets to be Leased'!$B$9))</f>
        <v>0</v>
      </c>
      <c r="DB79" s="143">
        <f>IF(DO78&gt;=DB78,0,AC78*(1+'[6]Assets to be Leased'!$B$9))</f>
        <v>0</v>
      </c>
      <c r="DC79" s="143">
        <f>IF(DO78&gt;=DC78,0,AK78*(1+'[6]Assets to be Leased'!$B$9))</f>
        <v>0</v>
      </c>
      <c r="DD79" s="144" t="str">
        <f>IF(AS78="","",AS78*(1+'[6]Assets to be Leased'!$B$9))</f>
        <v/>
      </c>
      <c r="DE79" s="144">
        <f>BA78*(1+'[6]Assets to be Leased'!$B$9)</f>
        <v>0</v>
      </c>
      <c r="DF79" s="144">
        <f>BI78*(1+'[6]Assets to be Leased'!$B$9)</f>
        <v>0</v>
      </c>
      <c r="DG79" s="144">
        <f>BQ78*(1+'[6]Assets to be Leased'!$B$9)</f>
        <v>0</v>
      </c>
      <c r="DH79" s="144">
        <f>BY78*(1+'[6]Assets to be Leased'!$B$9)</f>
        <v>0</v>
      </c>
      <c r="DI79" s="144">
        <f>CG78*(1+'[6]Assets to be Leased'!$B$9)</f>
        <v>0</v>
      </c>
      <c r="DJ79" s="144">
        <f>CO78*(1+'[6]Assets to be Leased'!$B$9)</f>
        <v>0</v>
      </c>
      <c r="DK79" s="176">
        <f>CW78*(1+'[6]Assets to be Leased'!$B$9)</f>
        <v>9624.4042749760411</v>
      </c>
      <c r="DL79" s="176">
        <f t="shared" si="27"/>
        <v>9624.4042749760411</v>
      </c>
      <c r="DM79" s="161">
        <f t="array" ref="DM79">IFERROR(SMALL(IF(DA79:DC79&gt;0,DA79:DC79),1),0)</f>
        <v>0</v>
      </c>
      <c r="DN79" s="78">
        <v>44105</v>
      </c>
      <c r="DO79" s="169">
        <f>IF(DS78+DR79&gt;DM79,HLOOKUP(DM79,DA79:$DL$82,1,FALSE),0)</f>
        <v>0</v>
      </c>
      <c r="DS79" s="225"/>
    </row>
    <row r="80" spans="1:123">
      <c r="A80" s="1784"/>
      <c r="B80" s="23" t="s">
        <v>63</v>
      </c>
      <c r="C80" s="8">
        <f>$CE42</f>
        <v>0</v>
      </c>
      <c r="D80" s="8">
        <f>$CE55</f>
        <v>0</v>
      </c>
      <c r="E80" s="8">
        <f>$CE68</f>
        <v>0</v>
      </c>
      <c r="F80" s="8">
        <f>$CE81</f>
        <v>0</v>
      </c>
      <c r="G80" s="8">
        <f>$CE94</f>
        <v>0</v>
      </c>
      <c r="H80" s="8">
        <f>$CE107</f>
        <v>0</v>
      </c>
      <c r="I80" s="8">
        <f>$CE120</f>
        <v>0</v>
      </c>
      <c r="J80" s="8">
        <f>$CE133</f>
        <v>0</v>
      </c>
      <c r="K80" s="8">
        <f>$CE146</f>
        <v>0</v>
      </c>
      <c r="L80" s="62"/>
      <c r="M80" s="12"/>
      <c r="O80" s="116">
        <f t="shared" si="78"/>
        <v>0</v>
      </c>
      <c r="P80" s="83">
        <v>44166</v>
      </c>
      <c r="Q80" s="84"/>
      <c r="R80" s="84"/>
      <c r="S80" s="84"/>
      <c r="T80" s="84"/>
      <c r="U80" s="84"/>
      <c r="V80" s="86"/>
      <c r="W80" s="116">
        <f t="shared" si="79"/>
        <v>0</v>
      </c>
      <c r="X80" s="83">
        <v>44166</v>
      </c>
      <c r="Y80" s="113"/>
      <c r="Z80" s="113"/>
      <c r="AA80" s="113"/>
      <c r="AB80" s="113"/>
      <c r="AC80" s="113"/>
      <c r="AE80" s="116">
        <f t="shared" si="80"/>
        <v>0</v>
      </c>
      <c r="AF80" s="83">
        <v>44166</v>
      </c>
      <c r="AG80" s="113"/>
      <c r="AH80" s="113"/>
      <c r="AI80" s="113"/>
      <c r="AJ80" s="113"/>
      <c r="AK80" s="113"/>
      <c r="AM80" s="116">
        <f t="shared" si="81"/>
        <v>0</v>
      </c>
      <c r="AN80" s="83">
        <v>44166</v>
      </c>
      <c r="AO80" s="113"/>
      <c r="AP80" s="113"/>
      <c r="AQ80" s="113"/>
      <c r="AR80" s="113"/>
      <c r="AS80" s="113"/>
      <c r="AU80" s="116">
        <f t="shared" si="82"/>
        <v>0</v>
      </c>
      <c r="AV80" s="83">
        <v>44166</v>
      </c>
      <c r="AW80" s="113"/>
      <c r="AX80" s="113"/>
      <c r="AY80" s="113"/>
      <c r="AZ80" s="113"/>
      <c r="BA80" s="113"/>
      <c r="BC80" s="116">
        <f t="shared" si="83"/>
        <v>0</v>
      </c>
      <c r="BD80" s="83">
        <v>44166</v>
      </c>
      <c r="BE80" s="113"/>
      <c r="BF80" s="113"/>
      <c r="BG80" s="113"/>
      <c r="BH80" s="113"/>
      <c r="BI80" s="113"/>
      <c r="BK80" s="116">
        <f t="shared" si="84"/>
        <v>0</v>
      </c>
      <c r="BL80" s="83">
        <v>44166</v>
      </c>
      <c r="BM80" s="113"/>
      <c r="BN80" s="113"/>
      <c r="BO80" s="113"/>
      <c r="BP80" s="113"/>
      <c r="BQ80" s="113"/>
      <c r="BS80" s="116">
        <f t="shared" si="85"/>
        <v>0</v>
      </c>
      <c r="BT80" s="83">
        <v>44166</v>
      </c>
      <c r="BU80" s="113"/>
      <c r="BV80" s="113"/>
      <c r="BW80" s="113"/>
      <c r="BX80" s="113"/>
      <c r="BY80" s="113"/>
      <c r="CA80" s="116">
        <f t="shared" si="86"/>
        <v>0</v>
      </c>
      <c r="CB80" s="83">
        <v>44166</v>
      </c>
      <c r="CC80" s="113"/>
      <c r="CD80" s="113"/>
      <c r="CE80" s="113"/>
      <c r="CF80" s="113"/>
      <c r="CG80" s="113"/>
      <c r="CI80" s="116">
        <f t="shared" si="87"/>
        <v>0</v>
      </c>
      <c r="CJ80" s="83">
        <v>44166</v>
      </c>
      <c r="CK80" s="113"/>
      <c r="CL80" s="113"/>
      <c r="CM80" s="113"/>
      <c r="CN80" s="113"/>
      <c r="CO80" s="113"/>
      <c r="CQ80" s="116">
        <f t="shared" si="88"/>
        <v>0</v>
      </c>
      <c r="CR80" s="83">
        <v>44166</v>
      </c>
      <c r="CS80" s="113">
        <f>[6]IRR!AL71</f>
        <v>0</v>
      </c>
      <c r="CT80" s="5">
        <f>CS80/(1+'[6]Assets to be Leased'!$B$9)</f>
        <v>0</v>
      </c>
      <c r="CU80" s="113"/>
      <c r="CV80" s="113">
        <f>[6]IRR!AO71</f>
        <v>23.428403218510493</v>
      </c>
      <c r="CW80" s="113">
        <f>[6]IRR!AP71/(1+'[6]Assets to be Leased'!$B$9)</f>
        <v>2254.3793735269846</v>
      </c>
      <c r="CZ80" s="78">
        <v>44136</v>
      </c>
      <c r="DA80" s="142">
        <f>IF(DO79&gt;=DA79,0,U79*(1+'[6]Assets to be Leased'!$B$9))</f>
        <v>0</v>
      </c>
      <c r="DB80" s="143">
        <f>IF(DO79&gt;=DB79,0,AC79*(1+'[6]Assets to be Leased'!$B$9))</f>
        <v>0</v>
      </c>
      <c r="DC80" s="143">
        <f>IF(DO79&gt;=DC79,0,AK79*(1+'[6]Assets to be Leased'!$B$9))</f>
        <v>0</v>
      </c>
      <c r="DD80" s="144" t="str">
        <f>IF(AS79="","",AS79*(1+'[6]Assets to be Leased'!$B$9))</f>
        <v/>
      </c>
      <c r="DE80" s="144">
        <f>BA79*(1+'[6]Assets to be Leased'!$B$9)</f>
        <v>0</v>
      </c>
      <c r="DF80" s="144">
        <f>BI79*(1+'[6]Assets to be Leased'!$B$9)</f>
        <v>0</v>
      </c>
      <c r="DG80" s="144">
        <f>BQ79*(1+'[6]Assets to be Leased'!$B$9)</f>
        <v>0</v>
      </c>
      <c r="DH80" s="144">
        <f>BY79*(1+'[6]Assets to be Leased'!$B$9)</f>
        <v>0</v>
      </c>
      <c r="DI80" s="144">
        <f>CG79*(1+'[6]Assets to be Leased'!$B$9)</f>
        <v>0</v>
      </c>
      <c r="DJ80" s="144">
        <f>CO79*(1+'[6]Assets to be Leased'!$B$9)</f>
        <v>0</v>
      </c>
      <c r="DK80" s="176">
        <f>CW79*(1+'[6]Assets to be Leased'!$B$9)</f>
        <v>2591.6516700727916</v>
      </c>
      <c r="DL80" s="176">
        <f t="shared" si="27"/>
        <v>2591.6516700727916</v>
      </c>
      <c r="DM80" s="161">
        <f t="array" ref="DM80">IFERROR(SMALL(IF(DA80:DC80&gt;0,DA80:DC80),1),0)</f>
        <v>0</v>
      </c>
      <c r="DN80" s="78">
        <v>44136</v>
      </c>
      <c r="DO80" s="169">
        <f>IF(DS79+DR80&gt;DM80,HLOOKUP(DM80,DA80:$DL$82,1,FALSE),0)</f>
        <v>0</v>
      </c>
      <c r="DS80" s="225"/>
    </row>
    <row r="81" spans="1:123">
      <c r="A81" s="1785"/>
      <c r="B81" s="64" t="s">
        <v>64</v>
      </c>
      <c r="C81" s="61">
        <f>IF(CG29-C80&lt;0,0,CG29-C80)</f>
        <v>0</v>
      </c>
      <c r="D81" s="61">
        <f>IF(CG42-D80&lt;0,0,CG42-D80)</f>
        <v>0</v>
      </c>
      <c r="E81" s="61">
        <f>IF(CG55-E80&lt;0,0,CG55-E80)</f>
        <v>0</v>
      </c>
      <c r="F81" s="61">
        <f>IF(CG68-F80&lt;0,0,CG68-F80)</f>
        <v>0</v>
      </c>
      <c r="G81" s="61">
        <f>IF(CG81-G80&lt;0,0,CG81-G80)</f>
        <v>0</v>
      </c>
      <c r="H81" s="61">
        <f>IF(CG94-H80&lt;0,0,CG94-H80)</f>
        <v>0</v>
      </c>
      <c r="I81" s="61">
        <f>IF(CG107-I80&lt;0,0,CG107-I80)</f>
        <v>0</v>
      </c>
      <c r="J81" s="61">
        <f>IF(CG120-J80&lt;0,0,CG120-J80)</f>
        <v>0</v>
      </c>
      <c r="K81" s="61">
        <f>IF(CG133-K80&lt;0,0,CG133-K80)</f>
        <v>0</v>
      </c>
      <c r="L81" s="65">
        <f>IF(CG146-L80&lt;0,0,CG146-L80)</f>
        <v>0</v>
      </c>
      <c r="M81" s="12"/>
      <c r="O81" s="138" t="s">
        <v>20</v>
      </c>
      <c r="P81" s="87">
        <f>P68+1</f>
        <v>2020</v>
      </c>
      <c r="Q81" s="94">
        <f>SUM(Q69:Q80)</f>
        <v>0</v>
      </c>
      <c r="R81" s="94">
        <f>SUM(R69:R80)</f>
        <v>0</v>
      </c>
      <c r="S81" s="94">
        <f>SUM(S69:S80)</f>
        <v>0</v>
      </c>
      <c r="T81" s="94">
        <f>SUM(T69:T80)</f>
        <v>0</v>
      </c>
      <c r="U81" s="94">
        <f>U80</f>
        <v>0</v>
      </c>
      <c r="V81" s="101"/>
      <c r="W81" s="138" t="s">
        <v>20</v>
      </c>
      <c r="X81" s="87">
        <f>X68+1</f>
        <v>2020</v>
      </c>
      <c r="Y81" s="107">
        <f>SUM(Y69:Y80)</f>
        <v>0</v>
      </c>
      <c r="Z81" s="107">
        <f>SUM(Z69:Z80)</f>
        <v>0</v>
      </c>
      <c r="AA81" s="107">
        <f>SUM(AA69:AA80)</f>
        <v>0</v>
      </c>
      <c r="AB81" s="107">
        <f>SUM(AB69:AB80)</f>
        <v>0</v>
      </c>
      <c r="AC81" s="107">
        <f>AC80</f>
        <v>0</v>
      </c>
      <c r="AE81" s="138" t="s">
        <v>20</v>
      </c>
      <c r="AF81" s="87">
        <f>AF68+1</f>
        <v>2020</v>
      </c>
      <c r="AG81" s="107">
        <f>SUM(AG69:AG80)</f>
        <v>0</v>
      </c>
      <c r="AH81" s="107">
        <f>SUM(AH69:AH80)</f>
        <v>0</v>
      </c>
      <c r="AI81" s="107">
        <f>SUM(AI69:AI80)</f>
        <v>0</v>
      </c>
      <c r="AJ81" s="107">
        <f>SUM(AJ69:AJ80)</f>
        <v>0</v>
      </c>
      <c r="AK81" s="107">
        <f>AK80</f>
        <v>0</v>
      </c>
      <c r="AM81" s="138" t="s">
        <v>20</v>
      </c>
      <c r="AN81" s="87">
        <f>AN68+1</f>
        <v>2020</v>
      </c>
      <c r="AO81" s="107">
        <f>SUM(AO69:AO80)</f>
        <v>0</v>
      </c>
      <c r="AP81" s="107">
        <f>SUM(AP69:AP80)</f>
        <v>0</v>
      </c>
      <c r="AQ81" s="107">
        <f>SUM(AQ69:AQ80)</f>
        <v>0</v>
      </c>
      <c r="AR81" s="107">
        <f>SUM(AR69:AR80)</f>
        <v>0</v>
      </c>
      <c r="AS81" s="107">
        <f>AS80</f>
        <v>0</v>
      </c>
      <c r="AU81" s="138" t="s">
        <v>20</v>
      </c>
      <c r="AV81" s="87">
        <f>AV68+1</f>
        <v>2020</v>
      </c>
      <c r="AW81" s="107">
        <f>SUM(AW69:AW80)</f>
        <v>0</v>
      </c>
      <c r="AX81" s="107">
        <f>SUM(AX69:AX80)</f>
        <v>0</v>
      </c>
      <c r="AY81" s="107">
        <f>SUM(AY69:AY80)</f>
        <v>0</v>
      </c>
      <c r="AZ81" s="107">
        <f>SUM(AZ69:AZ80)</f>
        <v>0</v>
      </c>
      <c r="BA81" s="107">
        <f>BA80</f>
        <v>0</v>
      </c>
      <c r="BC81" s="138" t="s">
        <v>20</v>
      </c>
      <c r="BD81" s="87">
        <f>BD68+1</f>
        <v>2020</v>
      </c>
      <c r="BE81" s="107">
        <f>SUM(BE69:BE80)</f>
        <v>0</v>
      </c>
      <c r="BF81" s="107">
        <f>SUM(BF69:BF80)</f>
        <v>0</v>
      </c>
      <c r="BG81" s="107">
        <f>SUM(BG69:BG80)</f>
        <v>0</v>
      </c>
      <c r="BH81" s="107">
        <f>SUM(BH69:BH80)</f>
        <v>0</v>
      </c>
      <c r="BI81" s="107">
        <f>BI80</f>
        <v>0</v>
      </c>
      <c r="BK81" s="138" t="s">
        <v>20</v>
      </c>
      <c r="BL81" s="87">
        <f>BL68+1</f>
        <v>2020</v>
      </c>
      <c r="BM81" s="107">
        <f>SUM(BM69:BM80)</f>
        <v>0</v>
      </c>
      <c r="BN81" s="107">
        <f>SUM(BN69:BN80)</f>
        <v>0</v>
      </c>
      <c r="BO81" s="107">
        <f>SUM(BO69:BO80)</f>
        <v>0</v>
      </c>
      <c r="BP81" s="107">
        <f>SUM(BP69:BP80)</f>
        <v>0</v>
      </c>
      <c r="BQ81" s="107">
        <f>BQ80</f>
        <v>0</v>
      </c>
      <c r="BS81" s="138" t="s">
        <v>20</v>
      </c>
      <c r="BT81" s="87">
        <f>BT68+1</f>
        <v>2020</v>
      </c>
      <c r="BU81" s="107">
        <f>SUM(BU69:BU80)</f>
        <v>0</v>
      </c>
      <c r="BV81" s="107">
        <f>SUM(BV69:BV80)</f>
        <v>0</v>
      </c>
      <c r="BW81" s="107">
        <f>SUM(BW69:BW80)</f>
        <v>0</v>
      </c>
      <c r="BX81" s="107">
        <f>SUM(BX69:BX80)</f>
        <v>0</v>
      </c>
      <c r="BY81" s="107">
        <f>BY80</f>
        <v>0</v>
      </c>
      <c r="CA81" s="138" t="s">
        <v>20</v>
      </c>
      <c r="CB81" s="87">
        <f>CB68+1</f>
        <v>2020</v>
      </c>
      <c r="CC81" s="107">
        <f>SUM(CC69:CC80)</f>
        <v>0</v>
      </c>
      <c r="CD81" s="107">
        <f>SUM(CD69:CD80)</f>
        <v>0</v>
      </c>
      <c r="CE81" s="107">
        <f>SUM(CE69:CE80)</f>
        <v>0</v>
      </c>
      <c r="CF81" s="107">
        <f>SUM(CF69:CF80)</f>
        <v>0</v>
      </c>
      <c r="CG81" s="107">
        <f>CG80</f>
        <v>0</v>
      </c>
      <c r="CI81" s="138" t="s">
        <v>20</v>
      </c>
      <c r="CJ81" s="87">
        <f>CJ68+1</f>
        <v>2020</v>
      </c>
      <c r="CK81" s="107">
        <f>SUM(CK69:CK80)</f>
        <v>0</v>
      </c>
      <c r="CL81" s="107">
        <f>SUM(CL69:CL80)</f>
        <v>0</v>
      </c>
      <c r="CM81" s="107">
        <f>SUM(CM69:CM80)</f>
        <v>0</v>
      </c>
      <c r="CN81" s="107">
        <f>SUM(CN69:CN80)</f>
        <v>0</v>
      </c>
      <c r="CO81" s="107">
        <f>CO80</f>
        <v>0</v>
      </c>
      <c r="CQ81" s="138" t="s">
        <v>20</v>
      </c>
      <c r="CR81" s="87">
        <f>CR68+1</f>
        <v>2020</v>
      </c>
      <c r="CS81" s="107">
        <f>SUM(CS69:CS80)</f>
        <v>64077.81070189926</v>
      </c>
      <c r="CT81" s="107">
        <f>SUM(CT69:CT80)</f>
        <v>55239.491984395914</v>
      </c>
      <c r="CU81" s="107">
        <f>SUM(CU69:CU80)</f>
        <v>0</v>
      </c>
      <c r="CV81" s="107">
        <f>SUM(CV69:CV80)</f>
        <v>4163.53808052555</v>
      </c>
      <c r="CW81" s="107">
        <f>CW80</f>
        <v>2254.3793735269846</v>
      </c>
      <c r="CZ81" s="78">
        <v>44166</v>
      </c>
      <c r="DA81" s="142">
        <f>IF(DO80&gt;=DA80,0,U80*(1+'[6]Assets to be Leased'!$B$9))</f>
        <v>0</v>
      </c>
      <c r="DB81" s="143">
        <f>IF(DO80&gt;=DB80,0,AC80*(1+'[6]Assets to be Leased'!$B$9))</f>
        <v>0</v>
      </c>
      <c r="DC81" s="143">
        <f>IF(DO80&gt;=DC80,0,AK80*(1+'[6]Assets to be Leased'!$B$9))</f>
        <v>0</v>
      </c>
      <c r="DD81" s="144" t="str">
        <f>IF(AS80="","",AS80*(1+'[6]Assets to be Leased'!$B$9))</f>
        <v/>
      </c>
      <c r="DE81" s="144">
        <f>BA80*(1+'[6]Assets to be Leased'!$B$9)</f>
        <v>0</v>
      </c>
      <c r="DF81" s="144">
        <f>BI80*(1+'[6]Assets to be Leased'!$B$9)</f>
        <v>0</v>
      </c>
      <c r="DG81" s="144">
        <f>BQ80*(1+'[6]Assets to be Leased'!$B$9)</f>
        <v>0</v>
      </c>
      <c r="DH81" s="144">
        <f>BY80*(1+'[6]Assets to be Leased'!$B$9)</f>
        <v>0</v>
      </c>
      <c r="DI81" s="144">
        <f>CG80*(1+'[6]Assets to be Leased'!$B$9)</f>
        <v>0</v>
      </c>
      <c r="DJ81" s="144">
        <f>CO80*(1+'[6]Assets to be Leased'!$B$9)</f>
        <v>0</v>
      </c>
      <c r="DK81" s="176">
        <f>CW80*(1+'[6]Assets to be Leased'!$B$9)</f>
        <v>2615.0800732913021</v>
      </c>
      <c r="DL81" s="176">
        <f t="shared" si="27"/>
        <v>2615.0800732913021</v>
      </c>
      <c r="DM81" s="161">
        <f t="array" ref="DM81">IFERROR(SMALL(IF(DA81:DC81&gt;0,DA81:DC81),1),0)</f>
        <v>0</v>
      </c>
      <c r="DN81" s="78">
        <v>44166</v>
      </c>
      <c r="DO81" s="169">
        <f>IF(DS80+DR81&gt;DM81,HLOOKUP(DM81,DA81:$DL$82,1,FALSE),0)</f>
        <v>0</v>
      </c>
      <c r="DP81" s="21"/>
      <c r="DQ81" s="21"/>
      <c r="DR81" s="21"/>
      <c r="DS81" s="226"/>
    </row>
    <row r="82" spans="1:123">
      <c r="A82" s="1783">
        <f>B13</f>
        <v>0</v>
      </c>
      <c r="B82" s="123" t="s">
        <v>67</v>
      </c>
      <c r="C82" s="11">
        <f>$CK29</f>
        <v>0</v>
      </c>
      <c r="D82" s="11">
        <f>$CK42</f>
        <v>0</v>
      </c>
      <c r="E82" s="11">
        <f>$CK55</f>
        <v>0</v>
      </c>
      <c r="F82" s="11">
        <f>$CK68</f>
        <v>0</v>
      </c>
      <c r="G82" s="11">
        <f>$CK81</f>
        <v>0</v>
      </c>
      <c r="H82" s="11">
        <f>$CK94</f>
        <v>0</v>
      </c>
      <c r="I82" s="11">
        <f>$CK107</f>
        <v>0</v>
      </c>
      <c r="J82" s="11">
        <f>$CK120</f>
        <v>0</v>
      </c>
      <c r="K82" s="11">
        <f>$CK133</f>
        <v>0</v>
      </c>
      <c r="L82" s="74">
        <f>$CK146</f>
        <v>0</v>
      </c>
      <c r="M82" s="12"/>
      <c r="O82" s="116">
        <f>IF(AND(Q82&gt;0,O80&gt;=0),O80+1,0)</f>
        <v>0</v>
      </c>
      <c r="P82" s="77">
        <v>44197</v>
      </c>
      <c r="Q82" s="82"/>
      <c r="R82" s="82"/>
      <c r="S82" s="82"/>
      <c r="T82" s="82"/>
      <c r="U82" s="82"/>
      <c r="V82" s="86"/>
      <c r="W82" s="116">
        <f>IF(AND(Y82&gt;0,W80&gt;=0),W80+1,0)</f>
        <v>0</v>
      </c>
      <c r="X82" s="77">
        <v>44197</v>
      </c>
      <c r="Y82" s="114"/>
      <c r="Z82" s="114"/>
      <c r="AA82" s="114"/>
      <c r="AB82" s="114"/>
      <c r="AC82" s="114"/>
      <c r="AE82" s="116">
        <f>IF(AND(AG82&gt;0,AE80&gt;=0),AE80+1,0)</f>
        <v>0</v>
      </c>
      <c r="AF82" s="77">
        <v>44197</v>
      </c>
      <c r="AG82" s="114"/>
      <c r="AH82" s="114"/>
      <c r="AI82" s="114"/>
      <c r="AJ82" s="114"/>
      <c r="AK82" s="114"/>
      <c r="AM82" s="116">
        <f>IF(AND(AO82&gt;0,AM80&gt;=0),AM80+1,0)</f>
        <v>0</v>
      </c>
      <c r="AN82" s="77">
        <v>44197</v>
      </c>
      <c r="AO82" s="114"/>
      <c r="AP82" s="114"/>
      <c r="AQ82" s="114"/>
      <c r="AR82" s="114"/>
      <c r="AS82" s="114"/>
      <c r="AU82" s="116">
        <f>IF(AND(AW82&gt;0,AU80&gt;=0),AU80+1,0)</f>
        <v>0</v>
      </c>
      <c r="AV82" s="77">
        <v>44197</v>
      </c>
      <c r="AW82" s="114"/>
      <c r="AX82" s="114"/>
      <c r="AY82" s="114"/>
      <c r="AZ82" s="114"/>
      <c r="BA82" s="114"/>
      <c r="BC82" s="116">
        <f>IF(AND(BE82&gt;0,BC80&gt;=0),BC80+1,0)</f>
        <v>0</v>
      </c>
      <c r="BD82" s="77">
        <v>44197</v>
      </c>
      <c r="BE82" s="114"/>
      <c r="BF82" s="114"/>
      <c r="BG82" s="114"/>
      <c r="BH82" s="114"/>
      <c r="BI82" s="114"/>
      <c r="BK82" s="116">
        <f>IF(AND(BM82&gt;0,BK80&gt;=0),BK80+1,0)</f>
        <v>0</v>
      </c>
      <c r="BL82" s="77">
        <v>44197</v>
      </c>
      <c r="BM82" s="114"/>
      <c r="BN82" s="114"/>
      <c r="BO82" s="114"/>
      <c r="BP82" s="114"/>
      <c r="BQ82" s="114"/>
      <c r="BS82" s="116">
        <f>IF(AND(BU82&gt;0,BS80&gt;=0),BS80+1,0)</f>
        <v>0</v>
      </c>
      <c r="BT82" s="77">
        <v>44197</v>
      </c>
      <c r="BU82" s="114"/>
      <c r="BV82" s="114"/>
      <c r="BW82" s="114"/>
      <c r="BX82" s="114"/>
      <c r="BY82" s="114"/>
      <c r="CA82" s="116">
        <f>IF(AND(CC82&gt;0,CA80&gt;=0),CA80+1,0)</f>
        <v>0</v>
      </c>
      <c r="CB82" s="77">
        <v>44197</v>
      </c>
      <c r="CC82" s="114"/>
      <c r="CD82" s="114"/>
      <c r="CE82" s="114"/>
      <c r="CF82" s="114"/>
      <c r="CG82" s="114"/>
      <c r="CI82" s="116">
        <f>IF(AND(CK82&gt;0,CI80&gt;=0),CI80+1,0)</f>
        <v>0</v>
      </c>
      <c r="CJ82" s="77">
        <v>44197</v>
      </c>
      <c r="CK82" s="114"/>
      <c r="CL82" s="114"/>
      <c r="CM82" s="114"/>
      <c r="CN82" s="114"/>
      <c r="CO82" s="114"/>
      <c r="CQ82" s="116">
        <f>IF(AND(CS82&gt;0,CQ80&gt;=0),CQ80+1,0)</f>
        <v>0</v>
      </c>
      <c r="CR82" s="77">
        <v>44197</v>
      </c>
      <c r="CS82" s="114">
        <f>[6]IRR!AL72</f>
        <v>0</v>
      </c>
      <c r="CT82" s="5">
        <f>CS82/(1+'[6]Assets to be Leased'!$B$9)</f>
        <v>0</v>
      </c>
      <c r="CU82" s="114"/>
      <c r="CV82" s="114">
        <f>[6]IRR!AO72</f>
        <v>23.640194827586456</v>
      </c>
      <c r="CW82" s="114">
        <f>[6]IRR!AP72/(1+'[6]Assets to be Leased'!$B$9)</f>
        <v>2274.7588518266284</v>
      </c>
      <c r="CZ82" s="155">
        <f>CZ69+1</f>
        <v>2020</v>
      </c>
      <c r="DA82" s="142">
        <f>IF(DO81&gt;=DA81,0,U81*(1+'[6]Assets to be Leased'!$B$9))</f>
        <v>0</v>
      </c>
      <c r="DB82" s="143">
        <f>IF(DO81&gt;=DB81,0,AC81*(1+'[6]Assets to be Leased'!$B$9))</f>
        <v>0</v>
      </c>
      <c r="DC82" s="143">
        <f>IF(DO81&gt;=DC81,0,AK81*(1+'[6]Assets to be Leased'!$B$9))</f>
        <v>0</v>
      </c>
      <c r="DD82" s="144">
        <f>IF(AS81="","",AS81*(1+'[6]Assets to be Leased'!$B$9))</f>
        <v>0</v>
      </c>
      <c r="DE82" s="144">
        <f>BA81*(1+'[6]Assets to be Leased'!$B$9)</f>
        <v>0</v>
      </c>
      <c r="DF82" s="144">
        <f>BI81*(1+'[6]Assets to be Leased'!$B$9)</f>
        <v>0</v>
      </c>
      <c r="DG82" s="144">
        <f>BQ81*(1+'[6]Assets to be Leased'!$B$9)</f>
        <v>0</v>
      </c>
      <c r="DH82" s="144">
        <f>BY81*(1+'[6]Assets to be Leased'!$B$9)</f>
        <v>0</v>
      </c>
      <c r="DI82" s="144">
        <f>CG81*(1+'[6]Assets to be Leased'!$B$9)</f>
        <v>0</v>
      </c>
      <c r="DJ82" s="144">
        <f>CO81*(1+'[6]Assets to be Leased'!$B$9)</f>
        <v>0</v>
      </c>
      <c r="DK82" s="176">
        <f>CW81*(1+'[6]Assets to be Leased'!$B$9)</f>
        <v>2615.0800732913021</v>
      </c>
      <c r="DL82" s="176">
        <f t="shared" si="27"/>
        <v>2615.0800732913021</v>
      </c>
      <c r="DM82" s="161">
        <f t="array" ref="DM82">IFERROR(SMALL(IF(DA82:DC82&gt;0,DA82:DC82),1),0)</f>
        <v>0</v>
      </c>
      <c r="DN82" s="155">
        <f>DN69+1</f>
        <v>2020</v>
      </c>
      <c r="DO82" s="169">
        <f>IF(DS81+DR82&gt;DM82,HLOOKUP(DM82,DA82:$DL$82,1,FALSE),0)</f>
        <v>0</v>
      </c>
      <c r="DP82" s="214"/>
      <c r="DQ82" s="214"/>
      <c r="DR82" s="214"/>
      <c r="DS82" s="106"/>
    </row>
    <row r="83" spans="1:123">
      <c r="A83" s="1784"/>
      <c r="B83" s="124" t="s">
        <v>69</v>
      </c>
      <c r="C83" s="9">
        <f>$CL29</f>
        <v>0</v>
      </c>
      <c r="D83" s="9">
        <f>$CL42</f>
        <v>0</v>
      </c>
      <c r="E83" s="9">
        <f>$CL55</f>
        <v>0</v>
      </c>
      <c r="F83" s="9">
        <f>$CL68</f>
        <v>0</v>
      </c>
      <c r="G83" s="9">
        <f>$CL81</f>
        <v>0</v>
      </c>
      <c r="H83" s="9">
        <f>$CL94</f>
        <v>0</v>
      </c>
      <c r="I83" s="9">
        <f>$CL107</f>
        <v>0</v>
      </c>
      <c r="J83" s="9">
        <f>$CL120</f>
        <v>0</v>
      </c>
      <c r="K83" s="9">
        <f>$CL133</f>
        <v>0</v>
      </c>
      <c r="L83" s="22">
        <f>$CL146</f>
        <v>0</v>
      </c>
      <c r="M83" s="12"/>
      <c r="O83" s="116">
        <f t="shared" ref="O83:O93" si="91">IF(AND(Q83&gt;0,O82&gt;=0),O82+1,0)</f>
        <v>0</v>
      </c>
      <c r="P83" s="78">
        <v>44228</v>
      </c>
      <c r="Q83" s="80"/>
      <c r="R83" s="80"/>
      <c r="S83" s="80"/>
      <c r="T83" s="80"/>
      <c r="U83" s="80"/>
      <c r="V83" s="86"/>
      <c r="W83" s="116">
        <f t="shared" ref="W83:W93" si="92">IF(AND(Y83&gt;0,W82&gt;=0),W82+1,0)</f>
        <v>0</v>
      </c>
      <c r="X83" s="78">
        <v>44228</v>
      </c>
      <c r="Y83" s="112"/>
      <c r="Z83" s="112"/>
      <c r="AA83" s="112"/>
      <c r="AB83" s="112"/>
      <c r="AC83" s="112"/>
      <c r="AE83" s="116">
        <f t="shared" ref="AE83:AE93" si="93">IF(AND(AG83&gt;0,AE82&gt;=0),AE82+1,0)</f>
        <v>0</v>
      </c>
      <c r="AF83" s="78">
        <v>44228</v>
      </c>
      <c r="AG83" s="112"/>
      <c r="AH83" s="112"/>
      <c r="AI83" s="112"/>
      <c r="AJ83" s="112"/>
      <c r="AK83" s="112"/>
      <c r="AM83" s="116">
        <f t="shared" ref="AM83:AM93" si="94">IF(AND(AO83&gt;0,AM82&gt;=0),AM82+1,0)</f>
        <v>0</v>
      </c>
      <c r="AN83" s="78">
        <v>44228</v>
      </c>
      <c r="AO83" s="112"/>
      <c r="AP83" s="112"/>
      <c r="AQ83" s="112"/>
      <c r="AR83" s="112"/>
      <c r="AS83" s="112"/>
      <c r="AU83" s="116">
        <f t="shared" ref="AU83:AU93" si="95">IF(AND(AW83&gt;0,AU82&gt;=0),AU82+1,0)</f>
        <v>0</v>
      </c>
      <c r="AV83" s="78">
        <v>44228</v>
      </c>
      <c r="AW83" s="112"/>
      <c r="AX83" s="112"/>
      <c r="AY83" s="112"/>
      <c r="AZ83" s="112"/>
      <c r="BA83" s="112"/>
      <c r="BC83" s="116">
        <f t="shared" ref="BC83:BC93" si="96">IF(AND(BE83&gt;0,BC82&gt;=0),BC82+1,0)</f>
        <v>0</v>
      </c>
      <c r="BD83" s="78">
        <v>44228</v>
      </c>
      <c r="BE83" s="112"/>
      <c r="BF83" s="112"/>
      <c r="BG83" s="112"/>
      <c r="BH83" s="112"/>
      <c r="BI83" s="112"/>
      <c r="BK83" s="116">
        <f t="shared" ref="BK83:BK93" si="97">IF(AND(BM83&gt;0,BK82&gt;=0),BK82+1,0)</f>
        <v>0</v>
      </c>
      <c r="BL83" s="78">
        <v>44228</v>
      </c>
      <c r="BM83" s="112"/>
      <c r="BN83" s="112"/>
      <c r="BO83" s="112"/>
      <c r="BP83" s="112"/>
      <c r="BQ83" s="112"/>
      <c r="BS83" s="116">
        <f t="shared" ref="BS83:BS93" si="98">IF(AND(BU83&gt;0,BS82&gt;=0),BS82+1,0)</f>
        <v>0</v>
      </c>
      <c r="BT83" s="78">
        <v>44228</v>
      </c>
      <c r="BU83" s="112"/>
      <c r="BV83" s="112"/>
      <c r="BW83" s="112"/>
      <c r="BX83" s="112"/>
      <c r="BY83" s="112"/>
      <c r="CA83" s="116">
        <f t="shared" ref="CA83:CA93" si="99">IF(AND(CC83&gt;0,CA82&gt;=0),CA82+1,0)</f>
        <v>0</v>
      </c>
      <c r="CB83" s="78">
        <v>44228</v>
      </c>
      <c r="CC83" s="112"/>
      <c r="CD83" s="112"/>
      <c r="CE83" s="112"/>
      <c r="CF83" s="112"/>
      <c r="CG83" s="112"/>
      <c r="CI83" s="116">
        <f t="shared" ref="CI83:CI93" si="100">IF(AND(CK83&gt;0,CI82&gt;=0),CI82+1,0)</f>
        <v>0</v>
      </c>
      <c r="CJ83" s="78">
        <v>44228</v>
      </c>
      <c r="CK83" s="112"/>
      <c r="CL83" s="112"/>
      <c r="CM83" s="112"/>
      <c r="CN83" s="112"/>
      <c r="CO83" s="112"/>
      <c r="CQ83" s="116">
        <f t="shared" ref="CQ83:CQ93" si="101">IF(AND(CS83&gt;0,CQ82&gt;=0),CQ82+1,0)</f>
        <v>0</v>
      </c>
      <c r="CR83" s="78">
        <v>44228</v>
      </c>
      <c r="CS83" s="112">
        <f>[6]IRR!AL73</f>
        <v>0</v>
      </c>
      <c r="CT83" s="5">
        <f>CS83/(1+'[6]Assets to be Leased'!$B$9)</f>
        <v>0</v>
      </c>
      <c r="CU83" s="112"/>
      <c r="CV83" s="112">
        <f>[6]IRR!AO73</f>
        <v>23.853901022358102</v>
      </c>
      <c r="CW83" s="112">
        <f>[6]IRR!AP73/(1+'[6]Assets to be Leased'!$B$9)</f>
        <v>2295.3225596045231</v>
      </c>
      <c r="DK83" s="19"/>
      <c r="DL83" s="19"/>
    </row>
    <row r="84" spans="1:123">
      <c r="A84" s="1784"/>
      <c r="B84" s="23" t="s">
        <v>68</v>
      </c>
      <c r="C84" s="9">
        <f>C82-C83</f>
        <v>0</v>
      </c>
      <c r="D84" s="9">
        <f>D82-D83</f>
        <v>0</v>
      </c>
      <c r="E84" s="9">
        <f>E82-E83</f>
        <v>0</v>
      </c>
      <c r="F84" s="9">
        <f t="shared" ref="F84:L84" si="102">F82-F83</f>
        <v>0</v>
      </c>
      <c r="G84" s="9">
        <f t="shared" si="102"/>
        <v>0</v>
      </c>
      <c r="H84" s="9">
        <f t="shared" si="102"/>
        <v>0</v>
      </c>
      <c r="I84" s="9">
        <f t="shared" si="102"/>
        <v>0</v>
      </c>
      <c r="J84" s="9">
        <f t="shared" si="102"/>
        <v>0</v>
      </c>
      <c r="K84" s="9">
        <f t="shared" si="102"/>
        <v>0</v>
      </c>
      <c r="L84" s="22">
        <f t="shared" si="102"/>
        <v>0</v>
      </c>
      <c r="M84" s="12"/>
      <c r="O84" s="116">
        <f t="shared" si="91"/>
        <v>0</v>
      </c>
      <c r="P84" s="78">
        <v>44256</v>
      </c>
      <c r="Q84" s="80"/>
      <c r="R84" s="80"/>
      <c r="S84" s="80"/>
      <c r="T84" s="80"/>
      <c r="U84" s="80"/>
      <c r="V84" s="86"/>
      <c r="W84" s="116">
        <f t="shared" si="92"/>
        <v>0</v>
      </c>
      <c r="X84" s="78">
        <v>44256</v>
      </c>
      <c r="Y84" s="112"/>
      <c r="Z84" s="112"/>
      <c r="AA84" s="112"/>
      <c r="AB84" s="112"/>
      <c r="AC84" s="112"/>
      <c r="AE84" s="116">
        <f t="shared" si="93"/>
        <v>0</v>
      </c>
      <c r="AF84" s="78">
        <v>44256</v>
      </c>
      <c r="AG84" s="112"/>
      <c r="AH84" s="112"/>
      <c r="AI84" s="112"/>
      <c r="AJ84" s="112"/>
      <c r="AK84" s="112"/>
      <c r="AM84" s="116">
        <f t="shared" si="94"/>
        <v>0</v>
      </c>
      <c r="AN84" s="78">
        <v>44256</v>
      </c>
      <c r="AO84" s="112"/>
      <c r="AP84" s="112"/>
      <c r="AQ84" s="112"/>
      <c r="AR84" s="112"/>
      <c r="AS84" s="112"/>
      <c r="AU84" s="116">
        <f t="shared" si="95"/>
        <v>0</v>
      </c>
      <c r="AV84" s="78">
        <v>44256</v>
      </c>
      <c r="AW84" s="112"/>
      <c r="AX84" s="112"/>
      <c r="AY84" s="112"/>
      <c r="AZ84" s="112"/>
      <c r="BA84" s="112"/>
      <c r="BC84" s="116">
        <f t="shared" si="96"/>
        <v>0</v>
      </c>
      <c r="BD84" s="78">
        <v>44256</v>
      </c>
      <c r="BE84" s="112"/>
      <c r="BF84" s="112"/>
      <c r="BG84" s="112"/>
      <c r="BH84" s="112"/>
      <c r="BI84" s="112"/>
      <c r="BK84" s="116">
        <f t="shared" si="97"/>
        <v>0</v>
      </c>
      <c r="BL84" s="78">
        <v>44256</v>
      </c>
      <c r="BM84" s="112"/>
      <c r="BN84" s="112"/>
      <c r="BO84" s="112"/>
      <c r="BP84" s="112"/>
      <c r="BQ84" s="112"/>
      <c r="BS84" s="116">
        <f t="shared" si="98"/>
        <v>0</v>
      </c>
      <c r="BT84" s="78">
        <v>44256</v>
      </c>
      <c r="BU84" s="112"/>
      <c r="BV84" s="112"/>
      <c r="BW84" s="112"/>
      <c r="BX84" s="112"/>
      <c r="BY84" s="112"/>
      <c r="CA84" s="116">
        <f t="shared" si="99"/>
        <v>0</v>
      </c>
      <c r="CB84" s="78">
        <v>44256</v>
      </c>
      <c r="CC84" s="112"/>
      <c r="CD84" s="112"/>
      <c r="CE84" s="112"/>
      <c r="CF84" s="112"/>
      <c r="CG84" s="112"/>
      <c r="CI84" s="116">
        <f t="shared" si="100"/>
        <v>0</v>
      </c>
      <c r="CJ84" s="78">
        <v>44256</v>
      </c>
      <c r="CK84" s="112"/>
      <c r="CL84" s="112"/>
      <c r="CM84" s="112"/>
      <c r="CN84" s="112"/>
      <c r="CO84" s="112"/>
      <c r="CQ84" s="116">
        <f t="shared" si="101"/>
        <v>1</v>
      </c>
      <c r="CR84" s="78">
        <v>44256</v>
      </c>
      <c r="CS84" s="112">
        <f>[6]IRR!AL74</f>
        <v>7119.7567446554722</v>
      </c>
      <c r="CT84" s="5">
        <f>CS84/(1+'[6]Assets to be Leased'!$B$9)</f>
        <v>6137.721331599545</v>
      </c>
      <c r="CU84" s="112"/>
      <c r="CV84" s="112">
        <f>[6]IRR!AO74</f>
        <v>24.069539110585655</v>
      </c>
      <c r="CW84" s="112">
        <f>[6]IRR!AP74/(1+'[6]Assets to be Leased'!$B$9)</f>
        <v>-3821.6491693134831</v>
      </c>
    </row>
    <row r="85" spans="1:123">
      <c r="A85" s="1784"/>
      <c r="B85" s="124" t="s">
        <v>54</v>
      </c>
      <c r="C85" s="63">
        <f>$CN29</f>
        <v>0</v>
      </c>
      <c r="D85" s="8">
        <f>$CN42</f>
        <v>0</v>
      </c>
      <c r="E85" s="8">
        <f>$CN55</f>
        <v>0</v>
      </c>
      <c r="F85" s="8">
        <f>$CN68</f>
        <v>0</v>
      </c>
      <c r="G85" s="8">
        <f>$CN81</f>
        <v>0</v>
      </c>
      <c r="H85" s="8">
        <f>$CN94</f>
        <v>0</v>
      </c>
      <c r="I85" s="8">
        <f>$CN107</f>
        <v>0</v>
      </c>
      <c r="J85" s="8">
        <f>$CN120</f>
        <v>0</v>
      </c>
      <c r="K85" s="8">
        <f>$CN133</f>
        <v>0</v>
      </c>
      <c r="L85" s="62">
        <f>$CN146</f>
        <v>0</v>
      </c>
      <c r="M85" s="12"/>
      <c r="O85" s="116">
        <f t="shared" si="91"/>
        <v>0</v>
      </c>
      <c r="P85" s="78">
        <v>44287</v>
      </c>
      <c r="Q85" s="80"/>
      <c r="R85" s="80"/>
      <c r="S85" s="80"/>
      <c r="T85" s="80"/>
      <c r="U85" s="80"/>
      <c r="V85" s="86"/>
      <c r="W85" s="116">
        <f t="shared" si="92"/>
        <v>0</v>
      </c>
      <c r="X85" s="78">
        <v>44287</v>
      </c>
      <c r="Y85" s="112"/>
      <c r="Z85" s="112"/>
      <c r="AA85" s="112"/>
      <c r="AB85" s="112"/>
      <c r="AC85" s="112"/>
      <c r="AE85" s="116">
        <f t="shared" si="93"/>
        <v>0</v>
      </c>
      <c r="AF85" s="78">
        <v>44287</v>
      </c>
      <c r="AG85" s="112"/>
      <c r="AH85" s="112"/>
      <c r="AI85" s="112"/>
      <c r="AJ85" s="112"/>
      <c r="AK85" s="112"/>
      <c r="AM85" s="116">
        <f t="shared" si="94"/>
        <v>0</v>
      </c>
      <c r="AN85" s="78">
        <v>44287</v>
      </c>
      <c r="AO85" s="112"/>
      <c r="AP85" s="112"/>
      <c r="AQ85" s="112"/>
      <c r="AR85" s="112"/>
      <c r="AS85" s="112"/>
      <c r="AU85" s="116">
        <f t="shared" si="95"/>
        <v>0</v>
      </c>
      <c r="AV85" s="78">
        <v>44287</v>
      </c>
      <c r="AW85" s="112"/>
      <c r="AX85" s="112"/>
      <c r="AY85" s="112"/>
      <c r="AZ85" s="112"/>
      <c r="BA85" s="112"/>
      <c r="BC85" s="116">
        <f t="shared" si="96"/>
        <v>0</v>
      </c>
      <c r="BD85" s="78">
        <v>44287</v>
      </c>
      <c r="BE85" s="112"/>
      <c r="BF85" s="112"/>
      <c r="BG85" s="112"/>
      <c r="BH85" s="112"/>
      <c r="BI85" s="112"/>
      <c r="BK85" s="116">
        <f t="shared" si="97"/>
        <v>0</v>
      </c>
      <c r="BL85" s="78">
        <v>44287</v>
      </c>
      <c r="BM85" s="112"/>
      <c r="BN85" s="112"/>
      <c r="BO85" s="112"/>
      <c r="BP85" s="112"/>
      <c r="BQ85" s="112"/>
      <c r="BS85" s="116">
        <f t="shared" si="98"/>
        <v>0</v>
      </c>
      <c r="BT85" s="78">
        <v>44287</v>
      </c>
      <c r="BU85" s="112"/>
      <c r="BV85" s="112"/>
      <c r="BW85" s="112"/>
      <c r="BX85" s="112"/>
      <c r="BY85" s="112"/>
      <c r="CA85" s="116">
        <f t="shared" si="99"/>
        <v>0</v>
      </c>
      <c r="CB85" s="78">
        <v>44287</v>
      </c>
      <c r="CC85" s="112"/>
      <c r="CD85" s="112"/>
      <c r="CE85" s="112"/>
      <c r="CF85" s="112"/>
      <c r="CG85" s="112"/>
      <c r="CI85" s="116">
        <f t="shared" si="100"/>
        <v>0</v>
      </c>
      <c r="CJ85" s="78">
        <v>44287</v>
      </c>
      <c r="CK85" s="112"/>
      <c r="CL85" s="112"/>
      <c r="CM85" s="112"/>
      <c r="CN85" s="112"/>
      <c r="CO85" s="112"/>
      <c r="CQ85" s="116">
        <f t="shared" si="101"/>
        <v>0</v>
      </c>
      <c r="CR85" s="78">
        <v>44287</v>
      </c>
      <c r="CS85" s="112">
        <f>[6]IRR!AL75</f>
        <v>0</v>
      </c>
      <c r="CT85" s="5">
        <f>CS85/(1+'[6]Assets to be Leased'!$B$9)</f>
        <v>0</v>
      </c>
      <c r="CU85" s="112"/>
      <c r="CV85" s="112">
        <f>[6]IRR!AO75</f>
        <v>-40.075123107567435</v>
      </c>
      <c r="CW85" s="112">
        <f>[6]IRR!AP75/(1+'[6]Assets to be Leased'!$B$9)</f>
        <v>-3856.1966892337996</v>
      </c>
    </row>
    <row r="86" spans="1:123">
      <c r="A86" s="1784"/>
      <c r="B86" s="124" t="s">
        <v>63</v>
      </c>
      <c r="C86" s="8">
        <f>$CM42</f>
        <v>0</v>
      </c>
      <c r="D86" s="8">
        <f>$CM55</f>
        <v>0</v>
      </c>
      <c r="E86" s="8">
        <f>$CM68</f>
        <v>0</v>
      </c>
      <c r="F86" s="8">
        <f>$CM81</f>
        <v>0</v>
      </c>
      <c r="G86" s="8">
        <f>$CM94</f>
        <v>0</v>
      </c>
      <c r="H86" s="8">
        <f>$CM107</f>
        <v>0</v>
      </c>
      <c r="I86" s="8">
        <f>$CM120</f>
        <v>0</v>
      </c>
      <c r="J86" s="8">
        <f>$CM133</f>
        <v>0</v>
      </c>
      <c r="K86" s="8">
        <f>$CM146</f>
        <v>0</v>
      </c>
      <c r="L86" s="62"/>
      <c r="M86" s="12"/>
      <c r="O86" s="116">
        <f t="shared" si="91"/>
        <v>0</v>
      </c>
      <c r="P86" s="78">
        <v>44317</v>
      </c>
      <c r="Q86" s="80"/>
      <c r="R86" s="80"/>
      <c r="S86" s="80"/>
      <c r="T86" s="80"/>
      <c r="U86" s="80"/>
      <c r="V86" s="86"/>
      <c r="W86" s="116">
        <f t="shared" si="92"/>
        <v>0</v>
      </c>
      <c r="X86" s="78">
        <v>44317</v>
      </c>
      <c r="Y86" s="112"/>
      <c r="Z86" s="112"/>
      <c r="AA86" s="112"/>
      <c r="AB86" s="112"/>
      <c r="AC86" s="112"/>
      <c r="AE86" s="116">
        <f t="shared" si="93"/>
        <v>0</v>
      </c>
      <c r="AF86" s="78">
        <v>44317</v>
      </c>
      <c r="AG86" s="112"/>
      <c r="AH86" s="112"/>
      <c r="AI86" s="112"/>
      <c r="AJ86" s="112"/>
      <c r="AK86" s="112"/>
      <c r="AM86" s="116">
        <f t="shared" si="94"/>
        <v>0</v>
      </c>
      <c r="AN86" s="78">
        <v>44317</v>
      </c>
      <c r="AO86" s="112"/>
      <c r="AP86" s="112"/>
      <c r="AQ86" s="112"/>
      <c r="AR86" s="112"/>
      <c r="AS86" s="112"/>
      <c r="AU86" s="116">
        <f t="shared" si="95"/>
        <v>0</v>
      </c>
      <c r="AV86" s="78">
        <v>44317</v>
      </c>
      <c r="AW86" s="112"/>
      <c r="AX86" s="112"/>
      <c r="AY86" s="112"/>
      <c r="AZ86" s="112"/>
      <c r="BA86" s="112"/>
      <c r="BC86" s="116">
        <f t="shared" si="96"/>
        <v>0</v>
      </c>
      <c r="BD86" s="78">
        <v>44317</v>
      </c>
      <c r="BE86" s="112"/>
      <c r="BF86" s="112"/>
      <c r="BG86" s="112"/>
      <c r="BH86" s="112"/>
      <c r="BI86" s="112"/>
      <c r="BK86" s="116">
        <f t="shared" si="97"/>
        <v>0</v>
      </c>
      <c r="BL86" s="78">
        <v>44317</v>
      </c>
      <c r="BM86" s="112"/>
      <c r="BN86" s="112"/>
      <c r="BO86" s="112"/>
      <c r="BP86" s="112"/>
      <c r="BQ86" s="112"/>
      <c r="BS86" s="116">
        <f t="shared" si="98"/>
        <v>0</v>
      </c>
      <c r="BT86" s="78">
        <v>44317</v>
      </c>
      <c r="BU86" s="112"/>
      <c r="BV86" s="112"/>
      <c r="BW86" s="112"/>
      <c r="BX86" s="112"/>
      <c r="BY86" s="112"/>
      <c r="CA86" s="116">
        <f t="shared" si="99"/>
        <v>0</v>
      </c>
      <c r="CB86" s="78">
        <v>44317</v>
      </c>
      <c r="CC86" s="112"/>
      <c r="CD86" s="112"/>
      <c r="CE86" s="112"/>
      <c r="CF86" s="112"/>
      <c r="CG86" s="112"/>
      <c r="CI86" s="116">
        <f t="shared" si="100"/>
        <v>0</v>
      </c>
      <c r="CJ86" s="78">
        <v>44317</v>
      </c>
      <c r="CK86" s="112"/>
      <c r="CL86" s="112"/>
      <c r="CM86" s="112"/>
      <c r="CN86" s="112"/>
      <c r="CO86" s="112"/>
      <c r="CQ86" s="116">
        <f t="shared" si="101"/>
        <v>0</v>
      </c>
      <c r="CR86" s="78">
        <v>44317</v>
      </c>
      <c r="CS86" s="112">
        <f>[6]IRR!AL76</f>
        <v>0</v>
      </c>
      <c r="CT86" s="5">
        <f>CS86/(1+'[6]Assets to be Leased'!$B$9)</f>
        <v>0</v>
      </c>
      <c r="CU86" s="112"/>
      <c r="CV86" s="112">
        <f>[6]IRR!AO76</f>
        <v>-40.437400243047286</v>
      </c>
      <c r="CW86" s="112">
        <f>[6]IRR!AP76/(1+'[6]Assets to be Leased'!$B$9)</f>
        <v>-3891.0565170295304</v>
      </c>
    </row>
    <row r="87" spans="1:123">
      <c r="A87" s="1785"/>
      <c r="B87" s="125" t="s">
        <v>64</v>
      </c>
      <c r="C87" s="8">
        <f>IF(CO29-C86&lt;0,0,CO29-C86)</f>
        <v>0</v>
      </c>
      <c r="D87" s="8">
        <f>IF(CO42-D86&lt;0,0,CO42-D86)</f>
        <v>0</v>
      </c>
      <c r="E87" s="8">
        <f>IF(CO55-E86&lt;0,0,CO55-E86)</f>
        <v>0</v>
      </c>
      <c r="F87" s="8">
        <f>IF(CO68-F86&lt;0,0,CO68-F86)</f>
        <v>0</v>
      </c>
      <c r="G87" s="8">
        <f>IF(CO81-G86&lt;0,0,CO81-G86)</f>
        <v>0</v>
      </c>
      <c r="H87" s="8">
        <f>IF(CO94-H86&lt;0,0,CO94-H86)</f>
        <v>0</v>
      </c>
      <c r="I87" s="8">
        <f>IF(CO107-I86&lt;0,0,CO107-I86)</f>
        <v>0</v>
      </c>
      <c r="J87" s="8">
        <f>IF(CO120-J86&lt;0,0,CO120-J86)</f>
        <v>0</v>
      </c>
      <c r="K87" s="8">
        <f>IF(CO133-K86&lt;0,0,CO133-K86)</f>
        <v>0</v>
      </c>
      <c r="L87" s="62">
        <f>IF(CO146-L86&lt;0,0,CO146-L86)</f>
        <v>0</v>
      </c>
      <c r="M87" s="12"/>
      <c r="O87" s="116">
        <f t="shared" si="91"/>
        <v>0</v>
      </c>
      <c r="P87" s="78">
        <v>44348</v>
      </c>
      <c r="Q87" s="80"/>
      <c r="R87" s="80"/>
      <c r="S87" s="80"/>
      <c r="T87" s="80"/>
      <c r="U87" s="80"/>
      <c r="V87" s="86"/>
      <c r="W87" s="116">
        <f t="shared" si="92"/>
        <v>0</v>
      </c>
      <c r="X87" s="78">
        <v>44348</v>
      </c>
      <c r="Y87" s="112"/>
      <c r="Z87" s="112"/>
      <c r="AA87" s="112"/>
      <c r="AB87" s="112"/>
      <c r="AC87" s="112"/>
      <c r="AE87" s="116">
        <f t="shared" si="93"/>
        <v>0</v>
      </c>
      <c r="AF87" s="78">
        <v>44348</v>
      </c>
      <c r="AG87" s="112"/>
      <c r="AH87" s="112"/>
      <c r="AI87" s="112"/>
      <c r="AJ87" s="112"/>
      <c r="AK87" s="112"/>
      <c r="AM87" s="116">
        <f t="shared" si="94"/>
        <v>0</v>
      </c>
      <c r="AN87" s="78">
        <v>44348</v>
      </c>
      <c r="AO87" s="112"/>
      <c r="AP87" s="112"/>
      <c r="AQ87" s="112"/>
      <c r="AR87" s="112"/>
      <c r="AS87" s="112"/>
      <c r="AU87" s="116">
        <f t="shared" si="95"/>
        <v>0</v>
      </c>
      <c r="AV87" s="78">
        <v>44348</v>
      </c>
      <c r="AW87" s="112"/>
      <c r="AX87" s="112"/>
      <c r="AY87" s="112"/>
      <c r="AZ87" s="112"/>
      <c r="BA87" s="112"/>
      <c r="BC87" s="116">
        <f t="shared" si="96"/>
        <v>0</v>
      </c>
      <c r="BD87" s="78">
        <v>44348</v>
      </c>
      <c r="BE87" s="112"/>
      <c r="BF87" s="112"/>
      <c r="BG87" s="112"/>
      <c r="BH87" s="112"/>
      <c r="BI87" s="112"/>
      <c r="BK87" s="116">
        <f t="shared" si="97"/>
        <v>0</v>
      </c>
      <c r="BL87" s="78">
        <v>44348</v>
      </c>
      <c r="BM87" s="112"/>
      <c r="BN87" s="112"/>
      <c r="BO87" s="112"/>
      <c r="BP87" s="112"/>
      <c r="BQ87" s="112"/>
      <c r="BS87" s="116">
        <f t="shared" si="98"/>
        <v>0</v>
      </c>
      <c r="BT87" s="78">
        <v>44348</v>
      </c>
      <c r="BU87" s="112"/>
      <c r="BV87" s="112"/>
      <c r="BW87" s="112"/>
      <c r="BX87" s="112"/>
      <c r="BY87" s="112"/>
      <c r="CA87" s="116">
        <f t="shared" si="99"/>
        <v>0</v>
      </c>
      <c r="CB87" s="78">
        <v>44348</v>
      </c>
      <c r="CC87" s="112"/>
      <c r="CD87" s="112"/>
      <c r="CE87" s="112"/>
      <c r="CF87" s="112"/>
      <c r="CG87" s="112"/>
      <c r="CI87" s="116">
        <f t="shared" si="100"/>
        <v>0</v>
      </c>
      <c r="CJ87" s="78">
        <v>44348</v>
      </c>
      <c r="CK87" s="112"/>
      <c r="CL87" s="112"/>
      <c r="CM87" s="112"/>
      <c r="CN87" s="112"/>
      <c r="CO87" s="112"/>
      <c r="CQ87" s="116">
        <f t="shared" si="101"/>
        <v>0</v>
      </c>
      <c r="CR87" s="78">
        <v>44348</v>
      </c>
      <c r="CS87" s="112">
        <f>[6]IRR!AL77</f>
        <v>0</v>
      </c>
      <c r="CT87" s="5">
        <f>CS87/(1+'[6]Assets to be Leased'!$B$9)</f>
        <v>0</v>
      </c>
      <c r="CU87" s="112"/>
      <c r="CV87" s="112">
        <f>[6]IRR!AO77</f>
        <v>-40.802952345956164</v>
      </c>
      <c r="CW87" s="112">
        <f>[6]IRR!AP77/(1+'[6]Assets to be Leased'!$B$9)</f>
        <v>-3926.2314759484584</v>
      </c>
    </row>
    <row r="88" spans="1:123">
      <c r="A88" s="1783" t="s">
        <v>5</v>
      </c>
      <c r="B88" s="126" t="s">
        <v>67</v>
      </c>
      <c r="C88" s="117">
        <f>C28+C34+C40+C46+C52+C58+C64+C70+C76+C82</f>
        <v>0</v>
      </c>
      <c r="D88" s="11">
        <f t="shared" ref="D88:L89" si="103">D28+D34+D40+D46+D52+D58+D64+D70+D76+D82</f>
        <v>0</v>
      </c>
      <c r="E88" s="11">
        <f t="shared" si="103"/>
        <v>0</v>
      </c>
      <c r="F88" s="11">
        <f t="shared" si="103"/>
        <v>0</v>
      </c>
      <c r="G88" s="11">
        <f t="shared" si="103"/>
        <v>0</v>
      </c>
      <c r="H88" s="11">
        <f t="shared" si="103"/>
        <v>0</v>
      </c>
      <c r="I88" s="11">
        <f t="shared" si="103"/>
        <v>0</v>
      </c>
      <c r="J88" s="11">
        <f t="shared" si="103"/>
        <v>0</v>
      </c>
      <c r="K88" s="11">
        <f t="shared" si="103"/>
        <v>0</v>
      </c>
      <c r="L88" s="74">
        <f t="shared" si="103"/>
        <v>0</v>
      </c>
      <c r="M88" s="12" t="s">
        <v>74</v>
      </c>
      <c r="O88" s="116">
        <f t="shared" si="91"/>
        <v>0</v>
      </c>
      <c r="P88" s="78">
        <v>44378</v>
      </c>
      <c r="Q88" s="80"/>
      <c r="R88" s="80"/>
      <c r="S88" s="80"/>
      <c r="T88" s="80"/>
      <c r="U88" s="80"/>
      <c r="V88" s="86"/>
      <c r="W88" s="116">
        <f t="shared" si="92"/>
        <v>0</v>
      </c>
      <c r="X88" s="78">
        <v>44378</v>
      </c>
      <c r="Y88" s="112"/>
      <c r="Z88" s="112"/>
      <c r="AA88" s="112"/>
      <c r="AB88" s="112"/>
      <c r="AC88" s="112"/>
      <c r="AE88" s="116">
        <f t="shared" si="93"/>
        <v>0</v>
      </c>
      <c r="AF88" s="78">
        <v>44378</v>
      </c>
      <c r="AG88" s="112"/>
      <c r="AH88" s="112"/>
      <c r="AI88" s="112"/>
      <c r="AJ88" s="112"/>
      <c r="AK88" s="112"/>
      <c r="AM88" s="116">
        <f t="shared" si="94"/>
        <v>0</v>
      </c>
      <c r="AN88" s="78">
        <v>44378</v>
      </c>
      <c r="AO88" s="112"/>
      <c r="AP88" s="112"/>
      <c r="AQ88" s="112"/>
      <c r="AR88" s="112"/>
      <c r="AS88" s="112"/>
      <c r="AU88" s="116">
        <f t="shared" si="95"/>
        <v>0</v>
      </c>
      <c r="AV88" s="78">
        <v>44378</v>
      </c>
      <c r="AW88" s="112"/>
      <c r="AX88" s="112"/>
      <c r="AY88" s="112"/>
      <c r="AZ88" s="112"/>
      <c r="BA88" s="112"/>
      <c r="BC88" s="116">
        <f t="shared" si="96"/>
        <v>0</v>
      </c>
      <c r="BD88" s="78">
        <v>44378</v>
      </c>
      <c r="BE88" s="112"/>
      <c r="BF88" s="112"/>
      <c r="BG88" s="112"/>
      <c r="BH88" s="112"/>
      <c r="BI88" s="112"/>
      <c r="BK88" s="116">
        <f t="shared" si="97"/>
        <v>0</v>
      </c>
      <c r="BL88" s="78">
        <v>44378</v>
      </c>
      <c r="BM88" s="112"/>
      <c r="BN88" s="112"/>
      <c r="BO88" s="112"/>
      <c r="BP88" s="112"/>
      <c r="BQ88" s="112"/>
      <c r="BS88" s="116">
        <f t="shared" si="98"/>
        <v>0</v>
      </c>
      <c r="BT88" s="78">
        <v>44378</v>
      </c>
      <c r="BU88" s="112"/>
      <c r="BV88" s="112"/>
      <c r="BW88" s="112"/>
      <c r="BX88" s="112"/>
      <c r="BY88" s="112"/>
      <c r="CA88" s="116">
        <f t="shared" si="99"/>
        <v>0</v>
      </c>
      <c r="CB88" s="78">
        <v>44378</v>
      </c>
      <c r="CC88" s="112"/>
      <c r="CD88" s="112"/>
      <c r="CE88" s="112"/>
      <c r="CF88" s="112"/>
      <c r="CG88" s="112"/>
      <c r="CI88" s="116">
        <f t="shared" si="100"/>
        <v>0</v>
      </c>
      <c r="CJ88" s="78">
        <v>44378</v>
      </c>
      <c r="CK88" s="112"/>
      <c r="CL88" s="112"/>
      <c r="CM88" s="112"/>
      <c r="CN88" s="112"/>
      <c r="CO88" s="112"/>
      <c r="CQ88" s="116">
        <f t="shared" si="101"/>
        <v>0</v>
      </c>
      <c r="CR88" s="78">
        <v>44378</v>
      </c>
      <c r="CS88" s="112">
        <f>[6]IRR!AL78</f>
        <v>0</v>
      </c>
      <c r="CT88" s="5">
        <f>CS88/(1+'[6]Assets to be Leased'!$B$9)</f>
        <v>0</v>
      </c>
      <c r="CU88" s="112"/>
      <c r="CV88" s="112">
        <f>[6]IRR!AO78</f>
        <v>-41.171809021838023</v>
      </c>
      <c r="CW88" s="112">
        <f>[6]IRR!AP78/(1+'[6]Assets to be Leased'!$B$9)</f>
        <v>-3961.7244147603878</v>
      </c>
    </row>
    <row r="89" spans="1:123">
      <c r="A89" s="1784"/>
      <c r="B89" s="121" t="s">
        <v>69</v>
      </c>
      <c r="C89" s="118">
        <f>C29+C35+C41+C47+C53+C59+C65+C71+C77+C83</f>
        <v>0</v>
      </c>
      <c r="D89" s="9">
        <f t="shared" si="103"/>
        <v>0</v>
      </c>
      <c r="E89" s="9">
        <f t="shared" si="103"/>
        <v>0</v>
      </c>
      <c r="F89" s="9">
        <f t="shared" si="103"/>
        <v>0</v>
      </c>
      <c r="G89" s="9">
        <f t="shared" si="103"/>
        <v>0</v>
      </c>
      <c r="H89" s="9">
        <f t="shared" si="103"/>
        <v>0</v>
      </c>
      <c r="I89" s="9">
        <f t="shared" si="103"/>
        <v>0</v>
      </c>
      <c r="J89" s="9">
        <f t="shared" si="103"/>
        <v>0</v>
      </c>
      <c r="K89" s="9">
        <f t="shared" si="103"/>
        <v>0</v>
      </c>
      <c r="L89" s="22">
        <f t="shared" si="103"/>
        <v>0</v>
      </c>
      <c r="M89" s="12"/>
      <c r="O89" s="116">
        <f t="shared" si="91"/>
        <v>0</v>
      </c>
      <c r="P89" s="78">
        <v>44409</v>
      </c>
      <c r="Q89" s="80"/>
      <c r="R89" s="80"/>
      <c r="S89" s="80"/>
      <c r="T89" s="80"/>
      <c r="U89" s="80"/>
      <c r="V89" s="86"/>
      <c r="W89" s="116">
        <f t="shared" si="92"/>
        <v>0</v>
      </c>
      <c r="X89" s="78">
        <v>44409</v>
      </c>
      <c r="Y89" s="112"/>
      <c r="Z89" s="112"/>
      <c r="AA89" s="112"/>
      <c r="AB89" s="112"/>
      <c r="AC89" s="112"/>
      <c r="AE89" s="116">
        <f t="shared" si="93"/>
        <v>0</v>
      </c>
      <c r="AF89" s="78">
        <v>44409</v>
      </c>
      <c r="AG89" s="112"/>
      <c r="AH89" s="112"/>
      <c r="AI89" s="112"/>
      <c r="AJ89" s="112"/>
      <c r="AK89" s="112"/>
      <c r="AM89" s="116">
        <f t="shared" si="94"/>
        <v>0</v>
      </c>
      <c r="AN89" s="78">
        <v>44409</v>
      </c>
      <c r="AO89" s="112"/>
      <c r="AP89" s="112"/>
      <c r="AQ89" s="112"/>
      <c r="AR89" s="112"/>
      <c r="AS89" s="112"/>
      <c r="AU89" s="116">
        <f t="shared" si="95"/>
        <v>0</v>
      </c>
      <c r="AV89" s="78">
        <v>44409</v>
      </c>
      <c r="AW89" s="112"/>
      <c r="AX89" s="112"/>
      <c r="AY89" s="112"/>
      <c r="AZ89" s="112"/>
      <c r="BA89" s="112"/>
      <c r="BC89" s="116">
        <f t="shared" si="96"/>
        <v>0</v>
      </c>
      <c r="BD89" s="78">
        <v>44409</v>
      </c>
      <c r="BE89" s="112"/>
      <c r="BF89" s="112"/>
      <c r="BG89" s="112"/>
      <c r="BH89" s="112"/>
      <c r="BI89" s="112"/>
      <c r="BK89" s="116">
        <f t="shared" si="97"/>
        <v>0</v>
      </c>
      <c r="BL89" s="78">
        <v>44409</v>
      </c>
      <c r="BM89" s="112"/>
      <c r="BN89" s="112"/>
      <c r="BO89" s="112"/>
      <c r="BP89" s="112"/>
      <c r="BQ89" s="112"/>
      <c r="BS89" s="116">
        <f t="shared" si="98"/>
        <v>0</v>
      </c>
      <c r="BT89" s="78">
        <v>44409</v>
      </c>
      <c r="BU89" s="112"/>
      <c r="BV89" s="112"/>
      <c r="BW89" s="112"/>
      <c r="BX89" s="112"/>
      <c r="BY89" s="112"/>
      <c r="CA89" s="116">
        <f t="shared" si="99"/>
        <v>0</v>
      </c>
      <c r="CB89" s="78">
        <v>44409</v>
      </c>
      <c r="CC89" s="112"/>
      <c r="CD89" s="112"/>
      <c r="CE89" s="112"/>
      <c r="CF89" s="112"/>
      <c r="CG89" s="112"/>
      <c r="CI89" s="116">
        <f t="shared" si="100"/>
        <v>0</v>
      </c>
      <c r="CJ89" s="78">
        <v>44409</v>
      </c>
      <c r="CK89" s="112"/>
      <c r="CL89" s="112"/>
      <c r="CM89" s="112"/>
      <c r="CN89" s="112"/>
      <c r="CO89" s="112"/>
      <c r="CQ89" s="116">
        <f t="shared" si="101"/>
        <v>0</v>
      </c>
      <c r="CR89" s="78">
        <v>44409</v>
      </c>
      <c r="CS89" s="112">
        <f>[6]IRR!AL79</f>
        <v>0</v>
      </c>
      <c r="CT89" s="5">
        <f>CS89/(1+'[6]Assets to be Leased'!$B$9)</f>
        <v>0</v>
      </c>
      <c r="CU89" s="112"/>
      <c r="CV89" s="112">
        <f>[6]IRR!AO79</f>
        <v>-41.544000143869503</v>
      </c>
      <c r="CW89" s="112">
        <f>[6]IRR!AP79/(1+'[6]Assets to be Leased'!$B$9)</f>
        <v>-3997.5382079878614</v>
      </c>
    </row>
    <row r="90" spans="1:123">
      <c r="A90" s="1784"/>
      <c r="B90" s="127" t="s">
        <v>68</v>
      </c>
      <c r="C90" s="118">
        <f t="shared" ref="C90:L93" si="104">C30+C36+C42+C48+C54+C60+C66+C72+C78+C84</f>
        <v>0</v>
      </c>
      <c r="D90" s="9">
        <f t="shared" si="104"/>
        <v>0</v>
      </c>
      <c r="E90" s="9">
        <f t="shared" si="104"/>
        <v>0</v>
      </c>
      <c r="F90" s="9">
        <f t="shared" si="104"/>
        <v>0</v>
      </c>
      <c r="G90" s="9">
        <f t="shared" si="104"/>
        <v>0</v>
      </c>
      <c r="H90" s="9">
        <f t="shared" si="104"/>
        <v>0</v>
      </c>
      <c r="I90" s="9">
        <f t="shared" si="104"/>
        <v>0</v>
      </c>
      <c r="J90" s="9">
        <f t="shared" si="104"/>
        <v>0</v>
      </c>
      <c r="K90" s="9">
        <f t="shared" si="104"/>
        <v>0</v>
      </c>
      <c r="L90" s="22">
        <f t="shared" si="104"/>
        <v>0</v>
      </c>
      <c r="M90" s="12" t="s">
        <v>61</v>
      </c>
      <c r="O90" s="116">
        <f t="shared" si="91"/>
        <v>0</v>
      </c>
      <c r="P90" s="78">
        <v>44440</v>
      </c>
      <c r="Q90" s="80"/>
      <c r="R90" s="80"/>
      <c r="S90" s="80"/>
      <c r="T90" s="80"/>
      <c r="U90" s="80"/>
      <c r="V90" s="86"/>
      <c r="W90" s="116">
        <f t="shared" si="92"/>
        <v>0</v>
      </c>
      <c r="X90" s="78">
        <v>44440</v>
      </c>
      <c r="Y90" s="112"/>
      <c r="Z90" s="112"/>
      <c r="AA90" s="112"/>
      <c r="AB90" s="112"/>
      <c r="AC90" s="112"/>
      <c r="AE90" s="116">
        <f t="shared" si="93"/>
        <v>0</v>
      </c>
      <c r="AF90" s="78">
        <v>44440</v>
      </c>
      <c r="AG90" s="112"/>
      <c r="AH90" s="112"/>
      <c r="AI90" s="112"/>
      <c r="AJ90" s="112"/>
      <c r="AK90" s="112"/>
      <c r="AM90" s="116">
        <f t="shared" si="94"/>
        <v>0</v>
      </c>
      <c r="AN90" s="78">
        <v>44440</v>
      </c>
      <c r="AO90" s="112"/>
      <c r="AP90" s="112"/>
      <c r="AQ90" s="112"/>
      <c r="AR90" s="112"/>
      <c r="AS90" s="112"/>
      <c r="AU90" s="116">
        <f t="shared" si="95"/>
        <v>0</v>
      </c>
      <c r="AV90" s="78">
        <v>44440</v>
      </c>
      <c r="AW90" s="112"/>
      <c r="AX90" s="112"/>
      <c r="AY90" s="112"/>
      <c r="AZ90" s="112"/>
      <c r="BA90" s="112"/>
      <c r="BC90" s="116">
        <f t="shared" si="96"/>
        <v>0</v>
      </c>
      <c r="BD90" s="78">
        <v>44440</v>
      </c>
      <c r="BE90" s="112"/>
      <c r="BF90" s="112"/>
      <c r="BG90" s="112"/>
      <c r="BH90" s="112"/>
      <c r="BI90" s="112"/>
      <c r="BK90" s="116">
        <f t="shared" si="97"/>
        <v>0</v>
      </c>
      <c r="BL90" s="78">
        <v>44440</v>
      </c>
      <c r="BM90" s="112"/>
      <c r="BN90" s="112"/>
      <c r="BO90" s="112"/>
      <c r="BP90" s="112"/>
      <c r="BQ90" s="112"/>
      <c r="BS90" s="116">
        <f t="shared" si="98"/>
        <v>0</v>
      </c>
      <c r="BT90" s="78">
        <v>44440</v>
      </c>
      <c r="BU90" s="112"/>
      <c r="BV90" s="112"/>
      <c r="BW90" s="112"/>
      <c r="BX90" s="112"/>
      <c r="BY90" s="112"/>
      <c r="CA90" s="116">
        <f t="shared" si="99"/>
        <v>0</v>
      </c>
      <c r="CB90" s="78">
        <v>44440</v>
      </c>
      <c r="CC90" s="112"/>
      <c r="CD90" s="112"/>
      <c r="CE90" s="112"/>
      <c r="CF90" s="112"/>
      <c r="CG90" s="112"/>
      <c r="CI90" s="116">
        <f t="shared" si="100"/>
        <v>0</v>
      </c>
      <c r="CJ90" s="78">
        <v>44440</v>
      </c>
      <c r="CK90" s="112"/>
      <c r="CL90" s="112"/>
      <c r="CM90" s="112"/>
      <c r="CN90" s="112"/>
      <c r="CO90" s="112"/>
      <c r="CQ90" s="116">
        <f t="shared" si="101"/>
        <v>0</v>
      </c>
      <c r="CR90" s="78">
        <v>44440</v>
      </c>
      <c r="CS90" s="112">
        <f>[6]IRR!AL80</f>
        <v>0</v>
      </c>
      <c r="CT90" s="5">
        <f>CS90/(1+'[6]Assets to be Leased'!$B$9)</f>
        <v>0</v>
      </c>
      <c r="CU90" s="112"/>
      <c r="CV90" s="112">
        <f>[6]IRR!AO80</f>
        <v>-41.919555855279235</v>
      </c>
      <c r="CW90" s="112">
        <f>[6]IRR!AP80/(1+'[6]Assets to be Leased'!$B$9)</f>
        <v>-4033.6757561389641</v>
      </c>
    </row>
    <row r="91" spans="1:123">
      <c r="A91" s="1784"/>
      <c r="B91" s="127" t="s">
        <v>54</v>
      </c>
      <c r="C91" s="118">
        <f t="shared" si="104"/>
        <v>0</v>
      </c>
      <c r="D91" s="9">
        <f t="shared" si="104"/>
        <v>0</v>
      </c>
      <c r="E91" s="9">
        <f t="shared" si="104"/>
        <v>0</v>
      </c>
      <c r="F91" s="9">
        <f t="shared" si="104"/>
        <v>0</v>
      </c>
      <c r="G91" s="9">
        <f t="shared" si="104"/>
        <v>0</v>
      </c>
      <c r="H91" s="9">
        <f t="shared" si="104"/>
        <v>0</v>
      </c>
      <c r="I91" s="9">
        <f t="shared" si="104"/>
        <v>0</v>
      </c>
      <c r="J91" s="9">
        <f t="shared" si="104"/>
        <v>0</v>
      </c>
      <c r="K91" s="9">
        <f t="shared" si="104"/>
        <v>0</v>
      </c>
      <c r="L91" s="22">
        <f t="shared" si="104"/>
        <v>0</v>
      </c>
      <c r="M91" s="12" t="s">
        <v>62</v>
      </c>
      <c r="O91" s="116">
        <f t="shared" si="91"/>
        <v>0</v>
      </c>
      <c r="P91" s="78">
        <v>44470</v>
      </c>
      <c r="Q91" s="80"/>
      <c r="R91" s="80"/>
      <c r="S91" s="80"/>
      <c r="T91" s="80"/>
      <c r="U91" s="80"/>
      <c r="V91" s="86"/>
      <c r="W91" s="116">
        <f t="shared" si="92"/>
        <v>0</v>
      </c>
      <c r="X91" s="78">
        <v>44470</v>
      </c>
      <c r="Y91" s="112"/>
      <c r="Z91" s="112"/>
      <c r="AA91" s="112"/>
      <c r="AB91" s="112"/>
      <c r="AC91" s="112"/>
      <c r="AE91" s="116">
        <f t="shared" si="93"/>
        <v>0</v>
      </c>
      <c r="AF91" s="78">
        <v>44470</v>
      </c>
      <c r="AG91" s="112"/>
      <c r="AH91" s="112"/>
      <c r="AI91" s="112"/>
      <c r="AJ91" s="112"/>
      <c r="AK91" s="112"/>
      <c r="AM91" s="116">
        <f t="shared" si="94"/>
        <v>0</v>
      </c>
      <c r="AN91" s="78">
        <v>44470</v>
      </c>
      <c r="AO91" s="112"/>
      <c r="AP91" s="112"/>
      <c r="AQ91" s="112"/>
      <c r="AR91" s="112"/>
      <c r="AS91" s="112"/>
      <c r="AU91" s="116">
        <f t="shared" si="95"/>
        <v>0</v>
      </c>
      <c r="AV91" s="78">
        <v>44470</v>
      </c>
      <c r="AW91" s="112"/>
      <c r="AX91" s="112"/>
      <c r="AY91" s="112"/>
      <c r="AZ91" s="112"/>
      <c r="BA91" s="112"/>
      <c r="BC91" s="116">
        <f t="shared" si="96"/>
        <v>0</v>
      </c>
      <c r="BD91" s="78">
        <v>44470</v>
      </c>
      <c r="BE91" s="112"/>
      <c r="BF91" s="112"/>
      <c r="BG91" s="112"/>
      <c r="BH91" s="112"/>
      <c r="BI91" s="112"/>
      <c r="BK91" s="116">
        <f t="shared" si="97"/>
        <v>0</v>
      </c>
      <c r="BL91" s="78">
        <v>44470</v>
      </c>
      <c r="BM91" s="112"/>
      <c r="BN91" s="112"/>
      <c r="BO91" s="112"/>
      <c r="BP91" s="112"/>
      <c r="BQ91" s="112"/>
      <c r="BS91" s="116">
        <f t="shared" si="98"/>
        <v>0</v>
      </c>
      <c r="BT91" s="78">
        <v>44470</v>
      </c>
      <c r="BU91" s="112"/>
      <c r="BV91" s="112"/>
      <c r="BW91" s="112"/>
      <c r="BX91" s="112"/>
      <c r="BY91" s="112"/>
      <c r="CA91" s="116">
        <f t="shared" si="99"/>
        <v>0</v>
      </c>
      <c r="CB91" s="78">
        <v>44470</v>
      </c>
      <c r="CC91" s="112"/>
      <c r="CD91" s="112"/>
      <c r="CE91" s="112"/>
      <c r="CF91" s="112"/>
      <c r="CG91" s="112"/>
      <c r="CI91" s="116">
        <f t="shared" si="100"/>
        <v>0</v>
      </c>
      <c r="CJ91" s="78">
        <v>44470</v>
      </c>
      <c r="CK91" s="112"/>
      <c r="CL91" s="112"/>
      <c r="CM91" s="112"/>
      <c r="CN91" s="112"/>
      <c r="CO91" s="112"/>
      <c r="CQ91" s="116">
        <f t="shared" si="101"/>
        <v>0</v>
      </c>
      <c r="CR91" s="78">
        <v>44470</v>
      </c>
      <c r="CS91" s="112">
        <f>[6]IRR!AL81</f>
        <v>0</v>
      </c>
      <c r="CT91" s="5">
        <f>CS91/(1+'[6]Assets to be Leased'!$B$9)</f>
        <v>0</v>
      </c>
      <c r="CU91" s="112"/>
      <c r="CV91" s="112">
        <f>[6]IRR!AO81</f>
        <v>-42.298506571789211</v>
      </c>
      <c r="CW91" s="112">
        <f>[6]IRR!AP81/(1+'[6]Assets to be Leased'!$B$9)</f>
        <v>-4070.1399859422309</v>
      </c>
    </row>
    <row r="92" spans="1:123">
      <c r="A92" s="1784"/>
      <c r="B92" s="127" t="s">
        <v>63</v>
      </c>
      <c r="C92" s="118">
        <f t="shared" si="104"/>
        <v>0</v>
      </c>
      <c r="D92" s="9">
        <f t="shared" si="104"/>
        <v>0</v>
      </c>
      <c r="E92" s="9">
        <f t="shared" si="104"/>
        <v>0</v>
      </c>
      <c r="F92" s="9">
        <f t="shared" si="104"/>
        <v>0</v>
      </c>
      <c r="G92" s="9">
        <f t="shared" si="104"/>
        <v>0</v>
      </c>
      <c r="H92" s="9">
        <f t="shared" si="104"/>
        <v>0</v>
      </c>
      <c r="I92" s="9">
        <f t="shared" si="104"/>
        <v>0</v>
      </c>
      <c r="J92" s="9">
        <f t="shared" si="104"/>
        <v>0</v>
      </c>
      <c r="K92" s="9">
        <f t="shared" si="104"/>
        <v>0</v>
      </c>
      <c r="L92" s="22">
        <f t="shared" si="104"/>
        <v>0</v>
      </c>
      <c r="M92" s="12" t="s">
        <v>61</v>
      </c>
      <c r="O92" s="116">
        <f t="shared" si="91"/>
        <v>0</v>
      </c>
      <c r="P92" s="78">
        <v>44501</v>
      </c>
      <c r="Q92" s="80"/>
      <c r="R92" s="80"/>
      <c r="S92" s="80"/>
      <c r="T92" s="80"/>
      <c r="U92" s="80"/>
      <c r="V92" s="86"/>
      <c r="W92" s="116">
        <f t="shared" si="92"/>
        <v>0</v>
      </c>
      <c r="X92" s="78">
        <v>44501</v>
      </c>
      <c r="Y92" s="112"/>
      <c r="Z92" s="112"/>
      <c r="AA92" s="112"/>
      <c r="AB92" s="112"/>
      <c r="AC92" s="112"/>
      <c r="AE92" s="116">
        <f t="shared" si="93"/>
        <v>0</v>
      </c>
      <c r="AF92" s="78">
        <v>44501</v>
      </c>
      <c r="AG92" s="112"/>
      <c r="AH92" s="112"/>
      <c r="AI92" s="112"/>
      <c r="AJ92" s="112"/>
      <c r="AK92" s="112"/>
      <c r="AM92" s="116">
        <f t="shared" si="94"/>
        <v>0</v>
      </c>
      <c r="AN92" s="78">
        <v>44501</v>
      </c>
      <c r="AO92" s="112"/>
      <c r="AP92" s="112"/>
      <c r="AQ92" s="112"/>
      <c r="AR92" s="112"/>
      <c r="AS92" s="112"/>
      <c r="AU92" s="116">
        <f t="shared" si="95"/>
        <v>0</v>
      </c>
      <c r="AV92" s="78">
        <v>44501</v>
      </c>
      <c r="AW92" s="112"/>
      <c r="AX92" s="112"/>
      <c r="AY92" s="112"/>
      <c r="AZ92" s="112"/>
      <c r="BA92" s="112"/>
      <c r="BC92" s="116">
        <f t="shared" si="96"/>
        <v>0</v>
      </c>
      <c r="BD92" s="78">
        <v>44501</v>
      </c>
      <c r="BE92" s="112"/>
      <c r="BF92" s="112"/>
      <c r="BG92" s="112"/>
      <c r="BH92" s="112"/>
      <c r="BI92" s="112"/>
      <c r="BK92" s="116">
        <f t="shared" si="97"/>
        <v>0</v>
      </c>
      <c r="BL92" s="78">
        <v>44501</v>
      </c>
      <c r="BM92" s="112"/>
      <c r="BN92" s="112"/>
      <c r="BO92" s="112"/>
      <c r="BP92" s="112"/>
      <c r="BQ92" s="112"/>
      <c r="BS92" s="116">
        <f t="shared" si="98"/>
        <v>0</v>
      </c>
      <c r="BT92" s="78">
        <v>44501</v>
      </c>
      <c r="BU92" s="112"/>
      <c r="BV92" s="112"/>
      <c r="BW92" s="112"/>
      <c r="BX92" s="112"/>
      <c r="BY92" s="112"/>
      <c r="CA92" s="116">
        <f t="shared" si="99"/>
        <v>0</v>
      </c>
      <c r="CB92" s="78">
        <v>44501</v>
      </c>
      <c r="CC92" s="112"/>
      <c r="CD92" s="112"/>
      <c r="CE92" s="112"/>
      <c r="CF92" s="112"/>
      <c r="CG92" s="112"/>
      <c r="CI92" s="116">
        <f t="shared" si="100"/>
        <v>0</v>
      </c>
      <c r="CJ92" s="78">
        <v>44501</v>
      </c>
      <c r="CK92" s="112"/>
      <c r="CL92" s="112"/>
      <c r="CM92" s="112"/>
      <c r="CN92" s="112"/>
      <c r="CO92" s="112"/>
      <c r="CQ92" s="116">
        <f t="shared" si="101"/>
        <v>0</v>
      </c>
      <c r="CR92" s="78">
        <v>44501</v>
      </c>
      <c r="CS92" s="112">
        <f>[6]IRR!AL82</f>
        <v>0</v>
      </c>
      <c r="CT92" s="5">
        <f>CS92/(1+'[6]Assets to be Leased'!$B$9)</f>
        <v>0</v>
      </c>
      <c r="CU92" s="112"/>
      <c r="CV92" s="112">
        <f>[6]IRR!AO82</f>
        <v>-42.680882984078011</v>
      </c>
      <c r="CW92" s="112">
        <f>[6]IRR!AP82/(1+'[6]Assets to be Leased'!$B$9)</f>
        <v>-4106.9338505836777</v>
      </c>
    </row>
    <row r="93" spans="1:123">
      <c r="A93" s="1785"/>
      <c r="B93" s="128" t="s">
        <v>64</v>
      </c>
      <c r="C93" s="119">
        <f t="shared" si="104"/>
        <v>0</v>
      </c>
      <c r="D93" s="10">
        <f t="shared" si="104"/>
        <v>0</v>
      </c>
      <c r="E93" s="10">
        <f t="shared" si="104"/>
        <v>0</v>
      </c>
      <c r="F93" s="10">
        <f t="shared" si="104"/>
        <v>0</v>
      </c>
      <c r="G93" s="10">
        <f t="shared" si="104"/>
        <v>0</v>
      </c>
      <c r="H93" s="10">
        <f t="shared" si="104"/>
        <v>0</v>
      </c>
      <c r="I93" s="10">
        <f t="shared" si="104"/>
        <v>0</v>
      </c>
      <c r="J93" s="10">
        <f t="shared" si="104"/>
        <v>0</v>
      </c>
      <c r="K93" s="10">
        <f t="shared" si="104"/>
        <v>0</v>
      </c>
      <c r="L93" s="120">
        <f t="shared" si="104"/>
        <v>0</v>
      </c>
      <c r="M93" s="12" t="s">
        <v>61</v>
      </c>
      <c r="O93" s="116">
        <f t="shared" si="91"/>
        <v>0</v>
      </c>
      <c r="P93" s="83">
        <v>44531</v>
      </c>
      <c r="Q93" s="84"/>
      <c r="R93" s="84"/>
      <c r="S93" s="84"/>
      <c r="T93" s="84"/>
      <c r="U93" s="84"/>
      <c r="V93" s="86"/>
      <c r="W93" s="116">
        <f t="shared" si="92"/>
        <v>0</v>
      </c>
      <c r="X93" s="83">
        <v>44531</v>
      </c>
      <c r="Y93" s="113"/>
      <c r="Z93" s="113"/>
      <c r="AA93" s="113"/>
      <c r="AB93" s="113"/>
      <c r="AC93" s="113"/>
      <c r="AE93" s="116">
        <f t="shared" si="93"/>
        <v>0</v>
      </c>
      <c r="AF93" s="83">
        <v>44531</v>
      </c>
      <c r="AG93" s="113"/>
      <c r="AH93" s="113"/>
      <c r="AI93" s="113"/>
      <c r="AJ93" s="113"/>
      <c r="AK93" s="113"/>
      <c r="AM93" s="116">
        <f t="shared" si="94"/>
        <v>0</v>
      </c>
      <c r="AN93" s="83">
        <v>44531</v>
      </c>
      <c r="AO93" s="113"/>
      <c r="AP93" s="113"/>
      <c r="AQ93" s="113"/>
      <c r="AR93" s="113"/>
      <c r="AS93" s="113"/>
      <c r="AU93" s="116">
        <f t="shared" si="95"/>
        <v>0</v>
      </c>
      <c r="AV93" s="83">
        <v>44531</v>
      </c>
      <c r="AW93" s="113"/>
      <c r="AX93" s="113"/>
      <c r="AY93" s="113"/>
      <c r="AZ93" s="113"/>
      <c r="BA93" s="113"/>
      <c r="BC93" s="116">
        <f t="shared" si="96"/>
        <v>0</v>
      </c>
      <c r="BD93" s="83">
        <v>44531</v>
      </c>
      <c r="BE93" s="113"/>
      <c r="BF93" s="113"/>
      <c r="BG93" s="113"/>
      <c r="BH93" s="113"/>
      <c r="BI93" s="113"/>
      <c r="BK93" s="116">
        <f t="shared" si="97"/>
        <v>0</v>
      </c>
      <c r="BL93" s="83">
        <v>44531</v>
      </c>
      <c r="BM93" s="113"/>
      <c r="BN93" s="113"/>
      <c r="BO93" s="113"/>
      <c r="BP93" s="113"/>
      <c r="BQ93" s="113"/>
      <c r="BS93" s="116">
        <f t="shared" si="98"/>
        <v>0</v>
      </c>
      <c r="BT93" s="83">
        <v>44531</v>
      </c>
      <c r="BU93" s="113"/>
      <c r="BV93" s="113"/>
      <c r="BW93" s="113"/>
      <c r="BX93" s="113"/>
      <c r="BY93" s="113"/>
      <c r="CA93" s="116">
        <f t="shared" si="99"/>
        <v>0</v>
      </c>
      <c r="CB93" s="83">
        <v>44531</v>
      </c>
      <c r="CC93" s="113"/>
      <c r="CD93" s="113"/>
      <c r="CE93" s="113"/>
      <c r="CF93" s="113"/>
      <c r="CG93" s="113"/>
      <c r="CI93" s="116">
        <f t="shared" si="100"/>
        <v>0</v>
      </c>
      <c r="CJ93" s="83">
        <v>44531</v>
      </c>
      <c r="CK93" s="113"/>
      <c r="CL93" s="113"/>
      <c r="CM93" s="113"/>
      <c r="CN93" s="113"/>
      <c r="CO93" s="113"/>
      <c r="CQ93" s="116">
        <f t="shared" si="101"/>
        <v>0</v>
      </c>
      <c r="CR93" s="83">
        <v>44531</v>
      </c>
      <c r="CS93" s="113">
        <f>[6]IRR!AL83</f>
        <v>0</v>
      </c>
      <c r="CT93" s="5">
        <f>CS93/(1+'[6]Assets to be Leased'!$B$9)</f>
        <v>0</v>
      </c>
      <c r="CU93" s="113"/>
      <c r="CV93" s="113">
        <f>[6]IRR!AO83</f>
        <v>-43.06671606026643</v>
      </c>
      <c r="CW93" s="113">
        <f>[6]IRR!AP83/(1+'[6]Assets to be Leased'!$B$9)</f>
        <v>-4144.0603299459763</v>
      </c>
    </row>
    <row r="94" spans="1:123">
      <c r="O94" s="138" t="s">
        <v>20</v>
      </c>
      <c r="P94" s="87">
        <f>P81+1</f>
        <v>2021</v>
      </c>
      <c r="Q94" s="94">
        <f>SUM(Q82:Q93)</f>
        <v>0</v>
      </c>
      <c r="R94" s="94">
        <f>SUM(R82:R93)</f>
        <v>0</v>
      </c>
      <c r="S94" s="94">
        <f>SUM(S82:S93)</f>
        <v>0</v>
      </c>
      <c r="T94" s="94">
        <f>SUM(T82:T93)</f>
        <v>0</v>
      </c>
      <c r="U94" s="94">
        <f>U93</f>
        <v>0</v>
      </c>
      <c r="V94" s="101"/>
      <c r="W94" s="138" t="s">
        <v>20</v>
      </c>
      <c r="X94" s="87">
        <f>X81+1</f>
        <v>2021</v>
      </c>
      <c r="Y94" s="107">
        <f>SUM(Y82:Y93)</f>
        <v>0</v>
      </c>
      <c r="Z94" s="107">
        <f>SUM(Z82:Z93)</f>
        <v>0</v>
      </c>
      <c r="AA94" s="107">
        <f>SUM(AA82:AA93)</f>
        <v>0</v>
      </c>
      <c r="AB94" s="107">
        <f>SUM(AB82:AB93)</f>
        <v>0</v>
      </c>
      <c r="AC94" s="107">
        <f>AC93</f>
        <v>0</v>
      </c>
      <c r="AE94" s="138" t="s">
        <v>20</v>
      </c>
      <c r="AF94" s="87">
        <f>AF81+1</f>
        <v>2021</v>
      </c>
      <c r="AG94" s="107">
        <f>SUM(AG82:AG93)</f>
        <v>0</v>
      </c>
      <c r="AH94" s="107">
        <f>SUM(AH82:AH93)</f>
        <v>0</v>
      </c>
      <c r="AI94" s="107">
        <f>SUM(AI82:AI93)</f>
        <v>0</v>
      </c>
      <c r="AJ94" s="107">
        <f>SUM(AJ82:AJ93)</f>
        <v>0</v>
      </c>
      <c r="AK94" s="107">
        <f>AK93</f>
        <v>0</v>
      </c>
      <c r="AM94" s="138" t="s">
        <v>20</v>
      </c>
      <c r="AN94" s="87">
        <f>AN81+1</f>
        <v>2021</v>
      </c>
      <c r="AO94" s="107">
        <f>SUM(AO82:AO93)</f>
        <v>0</v>
      </c>
      <c r="AP94" s="107">
        <f>SUM(AP82:AP93)</f>
        <v>0</v>
      </c>
      <c r="AQ94" s="107">
        <f>SUM(AQ82:AQ93)</f>
        <v>0</v>
      </c>
      <c r="AR94" s="107">
        <f>SUM(AR82:AR93)</f>
        <v>0</v>
      </c>
      <c r="AS94" s="107">
        <f>AS93</f>
        <v>0</v>
      </c>
      <c r="AU94" s="138" t="s">
        <v>20</v>
      </c>
      <c r="AV94" s="87">
        <f>AV81+1</f>
        <v>2021</v>
      </c>
      <c r="AW94" s="107">
        <f>SUM(AW82:AW93)</f>
        <v>0</v>
      </c>
      <c r="AX94" s="107">
        <f>SUM(AX82:AX93)</f>
        <v>0</v>
      </c>
      <c r="AY94" s="107">
        <f>SUM(AY82:AY93)</f>
        <v>0</v>
      </c>
      <c r="AZ94" s="107">
        <f>SUM(AZ82:AZ93)</f>
        <v>0</v>
      </c>
      <c r="BA94" s="107">
        <f>BA93</f>
        <v>0</v>
      </c>
      <c r="BC94" s="138" t="s">
        <v>20</v>
      </c>
      <c r="BD94" s="87">
        <f>BD81+1</f>
        <v>2021</v>
      </c>
      <c r="BE94" s="107">
        <f>SUM(BE82:BE93)</f>
        <v>0</v>
      </c>
      <c r="BF94" s="107">
        <f>SUM(BF82:BF93)</f>
        <v>0</v>
      </c>
      <c r="BG94" s="107">
        <f>SUM(BG82:BG93)</f>
        <v>0</v>
      </c>
      <c r="BH94" s="107">
        <f>SUM(BH82:BH93)</f>
        <v>0</v>
      </c>
      <c r="BI94" s="107">
        <f>BI93</f>
        <v>0</v>
      </c>
      <c r="BK94" s="138" t="s">
        <v>20</v>
      </c>
      <c r="BL94" s="87">
        <f>BL81+1</f>
        <v>2021</v>
      </c>
      <c r="BM94" s="107">
        <f>SUM(BM82:BM93)</f>
        <v>0</v>
      </c>
      <c r="BN94" s="107">
        <f>SUM(BN82:BN93)</f>
        <v>0</v>
      </c>
      <c r="BO94" s="107">
        <f>SUM(BO82:BO93)</f>
        <v>0</v>
      </c>
      <c r="BP94" s="107">
        <f>SUM(BP82:BP93)</f>
        <v>0</v>
      </c>
      <c r="BQ94" s="107">
        <f>BQ93</f>
        <v>0</v>
      </c>
      <c r="BS94" s="138" t="s">
        <v>20</v>
      </c>
      <c r="BT94" s="87">
        <f>BT81+1</f>
        <v>2021</v>
      </c>
      <c r="BU94" s="107">
        <f>SUM(BU82:BU93)</f>
        <v>0</v>
      </c>
      <c r="BV94" s="107">
        <f>SUM(BV82:BV93)</f>
        <v>0</v>
      </c>
      <c r="BW94" s="107">
        <f>SUM(BW82:BW93)</f>
        <v>0</v>
      </c>
      <c r="BX94" s="107">
        <f>SUM(BX82:BX93)</f>
        <v>0</v>
      </c>
      <c r="BY94" s="107">
        <f>BY93</f>
        <v>0</v>
      </c>
      <c r="CA94" s="138" t="s">
        <v>20</v>
      </c>
      <c r="CB94" s="87">
        <f>CB81+1</f>
        <v>2021</v>
      </c>
      <c r="CC94" s="107">
        <f>SUM(CC82:CC93)</f>
        <v>0</v>
      </c>
      <c r="CD94" s="107">
        <f>SUM(CD82:CD93)</f>
        <v>0</v>
      </c>
      <c r="CE94" s="107">
        <f>SUM(CE82:CE93)</f>
        <v>0</v>
      </c>
      <c r="CF94" s="107">
        <f>SUM(CF82:CF93)</f>
        <v>0</v>
      </c>
      <c r="CG94" s="107">
        <f>CG93</f>
        <v>0</v>
      </c>
      <c r="CI94" s="138" t="s">
        <v>20</v>
      </c>
      <c r="CJ94" s="87">
        <f>CJ81+1</f>
        <v>2021</v>
      </c>
      <c r="CK94" s="107">
        <f>SUM(CK82:CK93)</f>
        <v>0</v>
      </c>
      <c r="CL94" s="107">
        <f>SUM(CL82:CL93)</f>
        <v>0</v>
      </c>
      <c r="CM94" s="107">
        <f>SUM(CM82:CM93)</f>
        <v>0</v>
      </c>
      <c r="CN94" s="107">
        <f>SUM(CN82:CN93)</f>
        <v>0</v>
      </c>
      <c r="CO94" s="107">
        <f>CO93</f>
        <v>0</v>
      </c>
      <c r="CQ94" s="138" t="s">
        <v>20</v>
      </c>
      <c r="CR94" s="87">
        <f>CR81+1</f>
        <v>2021</v>
      </c>
      <c r="CS94" s="107">
        <f>SUM(CS82:CS93)</f>
        <v>7119.7567446554722</v>
      </c>
      <c r="CT94" s="107">
        <f>SUM(CT82:CT93)</f>
        <v>6137.721331599545</v>
      </c>
      <c r="CU94" s="107">
        <f>SUM(CU82:CU93)</f>
        <v>0</v>
      </c>
      <c r="CV94" s="107">
        <f>SUM(CV82:CV93)</f>
        <v>-302.43331137316113</v>
      </c>
      <c r="CW94" s="107">
        <f>CW93</f>
        <v>-4144.0603299459763</v>
      </c>
    </row>
    <row r="95" spans="1:123">
      <c r="O95" s="116">
        <f>IF(AND(Q95&gt;0,O93&gt;=0),O93+1,0)</f>
        <v>0</v>
      </c>
      <c r="P95" s="77">
        <v>44562</v>
      </c>
      <c r="Q95" s="82"/>
      <c r="R95" s="82"/>
      <c r="S95" s="82"/>
      <c r="T95" s="82"/>
      <c r="U95" s="82"/>
      <c r="V95" s="86"/>
      <c r="W95" s="116">
        <f>IF(AND(Y95&gt;0,W93&gt;=0),W93+1,0)</f>
        <v>0</v>
      </c>
      <c r="X95" s="77">
        <v>44562</v>
      </c>
      <c r="Y95" s="114"/>
      <c r="Z95" s="114"/>
      <c r="AA95" s="114"/>
      <c r="AB95" s="114"/>
      <c r="AC95" s="114"/>
      <c r="AE95" s="116">
        <f>IF(AND(AG95&gt;0,AE93&gt;=0),AE93+1,0)</f>
        <v>0</v>
      </c>
      <c r="AF95" s="77">
        <v>44562</v>
      </c>
      <c r="AG95" s="114"/>
      <c r="AH95" s="114"/>
      <c r="AI95" s="114"/>
      <c r="AJ95" s="114"/>
      <c r="AK95" s="114"/>
      <c r="AM95" s="116">
        <f>IF(AND(AO95&gt;0,AM93&gt;=0),AM93+1,0)</f>
        <v>0</v>
      </c>
      <c r="AN95" s="77">
        <v>44562</v>
      </c>
      <c r="AO95" s="114"/>
      <c r="AP95" s="114"/>
      <c r="AQ95" s="114"/>
      <c r="AR95" s="114"/>
      <c r="AS95" s="114"/>
      <c r="AU95" s="116">
        <f>IF(AND(AW95&gt;0,AU93&gt;=0),AU93+1,0)</f>
        <v>0</v>
      </c>
      <c r="AV95" s="77">
        <v>44562</v>
      </c>
      <c r="AW95" s="114"/>
      <c r="AX95" s="114"/>
      <c r="AY95" s="114"/>
      <c r="AZ95" s="114"/>
      <c r="BA95" s="114"/>
      <c r="BC95" s="116">
        <f>IF(AND(BE95&gt;0,BC93&gt;=0),BC93+1,0)</f>
        <v>0</v>
      </c>
      <c r="BD95" s="77">
        <v>44562</v>
      </c>
      <c r="BE95" s="114"/>
      <c r="BF95" s="114"/>
      <c r="BG95" s="114"/>
      <c r="BH95" s="114"/>
      <c r="BI95" s="114"/>
      <c r="BK95" s="116">
        <f>IF(AND(BM95&gt;0,BK93&gt;=0),BK93+1,0)</f>
        <v>0</v>
      </c>
      <c r="BL95" s="77">
        <v>44562</v>
      </c>
      <c r="BM95" s="114"/>
      <c r="BN95" s="114"/>
      <c r="BO95" s="114"/>
      <c r="BP95" s="114"/>
      <c r="BQ95" s="114"/>
      <c r="BS95" s="116">
        <f>IF(AND(BU95&gt;0,BS93&gt;=0),BS93+1,0)</f>
        <v>0</v>
      </c>
      <c r="BT95" s="77">
        <v>44562</v>
      </c>
      <c r="BU95" s="114"/>
      <c r="BV95" s="114"/>
      <c r="BW95" s="114"/>
      <c r="BX95" s="114"/>
      <c r="BY95" s="114"/>
      <c r="CA95" s="116">
        <f>IF(AND(CC95&gt;0,CA93&gt;=0),CA93+1,0)</f>
        <v>0</v>
      </c>
      <c r="CB95" s="77">
        <v>44562</v>
      </c>
      <c r="CC95" s="114"/>
      <c r="CD95" s="114"/>
      <c r="CE95" s="114"/>
      <c r="CF95" s="114"/>
      <c r="CG95" s="114"/>
      <c r="CI95" s="116">
        <f>IF(AND(CK95&gt;0,CI93&gt;=0),CI93+1,0)</f>
        <v>0</v>
      </c>
      <c r="CJ95" s="77">
        <v>44562</v>
      </c>
      <c r="CK95" s="114"/>
      <c r="CL95" s="114"/>
      <c r="CM95" s="114"/>
      <c r="CN95" s="114"/>
      <c r="CO95" s="114"/>
      <c r="CQ95" s="116">
        <f>IF(AND(CS95&gt;0,CQ93&gt;=0),CQ93+1,0)</f>
        <v>0</v>
      </c>
      <c r="CR95" s="77">
        <v>44562</v>
      </c>
      <c r="CS95" s="114">
        <f>[6]IRR!AL84</f>
        <v>0</v>
      </c>
      <c r="CT95" s="5">
        <f>CS95/(1+'[6]Assets to be Leased'!$B$9)</f>
        <v>0</v>
      </c>
      <c r="CU95" s="114"/>
      <c r="CV95" s="114"/>
      <c r="CW95" s="114"/>
    </row>
    <row r="96" spans="1:123">
      <c r="O96" s="116">
        <f t="shared" ref="O96:O106" si="105">IF(AND(Q96&gt;0,O95&gt;=0),O95+1,0)</f>
        <v>0</v>
      </c>
      <c r="P96" s="78">
        <v>44593</v>
      </c>
      <c r="Q96" s="80"/>
      <c r="R96" s="80"/>
      <c r="S96" s="80"/>
      <c r="T96" s="80"/>
      <c r="U96" s="80"/>
      <c r="V96" s="86"/>
      <c r="W96" s="116">
        <f t="shared" ref="W96:W106" si="106">IF(AND(Y96&gt;0,W95&gt;=0),W95+1,0)</f>
        <v>0</v>
      </c>
      <c r="X96" s="78">
        <v>44593</v>
      </c>
      <c r="Y96" s="112"/>
      <c r="Z96" s="112"/>
      <c r="AA96" s="112"/>
      <c r="AB96" s="112"/>
      <c r="AC96" s="112"/>
      <c r="AE96" s="116">
        <f t="shared" ref="AE96:AE106" si="107">IF(AND(AG96&gt;0,AE95&gt;=0),AE95+1,0)</f>
        <v>0</v>
      </c>
      <c r="AF96" s="78">
        <v>44593</v>
      </c>
      <c r="AG96" s="112"/>
      <c r="AH96" s="112"/>
      <c r="AI96" s="112"/>
      <c r="AJ96" s="112"/>
      <c r="AK96" s="112"/>
      <c r="AM96" s="116">
        <f t="shared" ref="AM96:AM106" si="108">IF(AND(AO96&gt;0,AM95&gt;=0),AM95+1,0)</f>
        <v>0</v>
      </c>
      <c r="AN96" s="78">
        <v>44593</v>
      </c>
      <c r="AO96" s="112"/>
      <c r="AP96" s="112"/>
      <c r="AQ96" s="112"/>
      <c r="AR96" s="112"/>
      <c r="AS96" s="112"/>
      <c r="AU96" s="116">
        <f t="shared" ref="AU96:AU106" si="109">IF(AND(AW96&gt;0,AU95&gt;=0),AU95+1,0)</f>
        <v>0</v>
      </c>
      <c r="AV96" s="78">
        <v>44593</v>
      </c>
      <c r="AW96" s="112"/>
      <c r="AX96" s="112"/>
      <c r="AY96" s="112"/>
      <c r="AZ96" s="112"/>
      <c r="BA96" s="112"/>
      <c r="BC96" s="116">
        <f t="shared" ref="BC96:BC106" si="110">IF(AND(BE96&gt;0,BC95&gt;=0),BC95+1,0)</f>
        <v>0</v>
      </c>
      <c r="BD96" s="78">
        <v>44593</v>
      </c>
      <c r="BE96" s="112"/>
      <c r="BF96" s="112"/>
      <c r="BG96" s="112"/>
      <c r="BH96" s="112"/>
      <c r="BI96" s="112"/>
      <c r="BK96" s="116">
        <f t="shared" ref="BK96:BK106" si="111">IF(AND(BM96&gt;0,BK95&gt;=0),BK95+1,0)</f>
        <v>0</v>
      </c>
      <c r="BL96" s="78">
        <v>44593</v>
      </c>
      <c r="BM96" s="112"/>
      <c r="BN96" s="112"/>
      <c r="BO96" s="112"/>
      <c r="BP96" s="112"/>
      <c r="BQ96" s="112"/>
      <c r="BS96" s="116">
        <f t="shared" ref="BS96:BS106" si="112">IF(AND(BU96&gt;0,BS95&gt;=0),BS95+1,0)</f>
        <v>0</v>
      </c>
      <c r="BT96" s="78">
        <v>44593</v>
      </c>
      <c r="BU96" s="112"/>
      <c r="BV96" s="112"/>
      <c r="BW96" s="112"/>
      <c r="BX96" s="112"/>
      <c r="BY96" s="112"/>
      <c r="CA96" s="116">
        <f t="shared" ref="CA96:CA106" si="113">IF(AND(CC96&gt;0,CA95&gt;=0),CA95+1,0)</f>
        <v>0</v>
      </c>
      <c r="CB96" s="78">
        <v>44593</v>
      </c>
      <c r="CC96" s="112"/>
      <c r="CD96" s="112"/>
      <c r="CE96" s="112"/>
      <c r="CF96" s="112"/>
      <c r="CG96" s="112"/>
      <c r="CI96" s="116">
        <f t="shared" ref="CI96:CI106" si="114">IF(AND(CK96&gt;0,CI95&gt;=0),CI95+1,0)</f>
        <v>0</v>
      </c>
      <c r="CJ96" s="78">
        <v>44593</v>
      </c>
      <c r="CK96" s="112"/>
      <c r="CL96" s="112"/>
      <c r="CM96" s="112"/>
      <c r="CN96" s="112"/>
      <c r="CO96" s="112"/>
      <c r="CQ96" s="116">
        <f t="shared" ref="CQ96:CQ106" si="115">IF(AND(CS96&gt;0,CQ95&gt;=0),CQ95+1,0)</f>
        <v>0</v>
      </c>
      <c r="CR96" s="78">
        <v>44593</v>
      </c>
      <c r="CS96" s="112">
        <f>[6]IRR!AL85</f>
        <v>0</v>
      </c>
      <c r="CT96" s="5">
        <f>CS96/(1+'[6]Assets to be Leased'!$B$9)</f>
        <v>0</v>
      </c>
      <c r="CU96" s="112"/>
      <c r="CV96" s="112"/>
      <c r="CW96" s="112"/>
    </row>
    <row r="97" spans="15:101">
      <c r="O97" s="116">
        <f t="shared" si="105"/>
        <v>0</v>
      </c>
      <c r="P97" s="78">
        <v>44621</v>
      </c>
      <c r="Q97" s="80"/>
      <c r="R97" s="80"/>
      <c r="S97" s="80"/>
      <c r="T97" s="80"/>
      <c r="U97" s="80"/>
      <c r="V97" s="86"/>
      <c r="W97" s="116">
        <f t="shared" si="106"/>
        <v>0</v>
      </c>
      <c r="X97" s="78">
        <v>44621</v>
      </c>
      <c r="Y97" s="112"/>
      <c r="Z97" s="112"/>
      <c r="AA97" s="112"/>
      <c r="AB97" s="112"/>
      <c r="AC97" s="112"/>
      <c r="AE97" s="116">
        <f t="shared" si="107"/>
        <v>0</v>
      </c>
      <c r="AF97" s="78">
        <v>44621</v>
      </c>
      <c r="AG97" s="112"/>
      <c r="AH97" s="112"/>
      <c r="AI97" s="112"/>
      <c r="AJ97" s="112"/>
      <c r="AK97" s="112"/>
      <c r="AM97" s="116">
        <f t="shared" si="108"/>
        <v>0</v>
      </c>
      <c r="AN97" s="78">
        <v>44621</v>
      </c>
      <c r="AO97" s="112"/>
      <c r="AP97" s="112"/>
      <c r="AQ97" s="112"/>
      <c r="AR97" s="112"/>
      <c r="AS97" s="112"/>
      <c r="AU97" s="116">
        <f t="shared" si="109"/>
        <v>0</v>
      </c>
      <c r="AV97" s="78">
        <v>44621</v>
      </c>
      <c r="AW97" s="112"/>
      <c r="AX97" s="112"/>
      <c r="AY97" s="112"/>
      <c r="AZ97" s="112"/>
      <c r="BA97" s="112"/>
      <c r="BC97" s="116">
        <f t="shared" si="110"/>
        <v>0</v>
      </c>
      <c r="BD97" s="78">
        <v>44621</v>
      </c>
      <c r="BE97" s="112"/>
      <c r="BF97" s="112"/>
      <c r="BG97" s="112"/>
      <c r="BH97" s="112"/>
      <c r="BI97" s="112"/>
      <c r="BK97" s="116">
        <f t="shared" si="111"/>
        <v>0</v>
      </c>
      <c r="BL97" s="78">
        <v>44621</v>
      </c>
      <c r="BM97" s="112"/>
      <c r="BN97" s="112"/>
      <c r="BO97" s="112"/>
      <c r="BP97" s="112"/>
      <c r="BQ97" s="112"/>
      <c r="BS97" s="116">
        <f t="shared" si="112"/>
        <v>0</v>
      </c>
      <c r="BT97" s="78">
        <v>44621</v>
      </c>
      <c r="BU97" s="112"/>
      <c r="BV97" s="112"/>
      <c r="BW97" s="112"/>
      <c r="BX97" s="112"/>
      <c r="BY97" s="112"/>
      <c r="CA97" s="116">
        <f t="shared" si="113"/>
        <v>0</v>
      </c>
      <c r="CB97" s="78">
        <v>44621</v>
      </c>
      <c r="CC97" s="112"/>
      <c r="CD97" s="112"/>
      <c r="CE97" s="112"/>
      <c r="CF97" s="112"/>
      <c r="CG97" s="112"/>
      <c r="CI97" s="116">
        <f t="shared" si="114"/>
        <v>0</v>
      </c>
      <c r="CJ97" s="78">
        <v>44621</v>
      </c>
      <c r="CK97" s="112"/>
      <c r="CL97" s="112"/>
      <c r="CM97" s="112"/>
      <c r="CN97" s="112"/>
      <c r="CO97" s="112"/>
      <c r="CQ97" s="116">
        <f t="shared" si="115"/>
        <v>0</v>
      </c>
      <c r="CR97" s="78">
        <v>44621</v>
      </c>
      <c r="CS97" s="112"/>
      <c r="CT97" s="112"/>
      <c r="CU97" s="112"/>
      <c r="CV97" s="112"/>
      <c r="CW97" s="112"/>
    </row>
    <row r="98" spans="15:101">
      <c r="O98" s="116">
        <f t="shared" si="105"/>
        <v>0</v>
      </c>
      <c r="P98" s="78">
        <v>44652</v>
      </c>
      <c r="Q98" s="80"/>
      <c r="R98" s="80"/>
      <c r="S98" s="80"/>
      <c r="T98" s="80"/>
      <c r="U98" s="80"/>
      <c r="V98" s="86"/>
      <c r="W98" s="116">
        <f t="shared" si="106"/>
        <v>0</v>
      </c>
      <c r="X98" s="78">
        <v>44652</v>
      </c>
      <c r="Y98" s="112"/>
      <c r="Z98" s="112"/>
      <c r="AA98" s="112"/>
      <c r="AB98" s="112"/>
      <c r="AC98" s="112"/>
      <c r="AE98" s="116">
        <f t="shared" si="107"/>
        <v>0</v>
      </c>
      <c r="AF98" s="78">
        <v>44652</v>
      </c>
      <c r="AG98" s="112"/>
      <c r="AH98" s="112"/>
      <c r="AI98" s="112"/>
      <c r="AJ98" s="112"/>
      <c r="AK98" s="112"/>
      <c r="AM98" s="116">
        <f t="shared" si="108"/>
        <v>0</v>
      </c>
      <c r="AN98" s="78">
        <v>44652</v>
      </c>
      <c r="AO98" s="112"/>
      <c r="AP98" s="112"/>
      <c r="AQ98" s="112"/>
      <c r="AR98" s="112"/>
      <c r="AS98" s="112"/>
      <c r="AU98" s="116">
        <f t="shared" si="109"/>
        <v>0</v>
      </c>
      <c r="AV98" s="78">
        <v>44652</v>
      </c>
      <c r="AW98" s="112"/>
      <c r="AX98" s="112"/>
      <c r="AY98" s="112"/>
      <c r="AZ98" s="112"/>
      <c r="BA98" s="112"/>
      <c r="BC98" s="116">
        <f t="shared" si="110"/>
        <v>0</v>
      </c>
      <c r="BD98" s="78">
        <v>44652</v>
      </c>
      <c r="BE98" s="112"/>
      <c r="BF98" s="112"/>
      <c r="BG98" s="112"/>
      <c r="BH98" s="112"/>
      <c r="BI98" s="112"/>
      <c r="BK98" s="116">
        <f t="shared" si="111"/>
        <v>0</v>
      </c>
      <c r="BL98" s="78">
        <v>44652</v>
      </c>
      <c r="BM98" s="112"/>
      <c r="BN98" s="112"/>
      <c r="BO98" s="112"/>
      <c r="BP98" s="112"/>
      <c r="BQ98" s="112"/>
      <c r="BS98" s="116">
        <f t="shared" si="112"/>
        <v>0</v>
      </c>
      <c r="BT98" s="78">
        <v>44652</v>
      </c>
      <c r="BU98" s="112"/>
      <c r="BV98" s="112"/>
      <c r="BW98" s="112"/>
      <c r="BX98" s="112"/>
      <c r="BY98" s="112"/>
      <c r="CA98" s="116">
        <f t="shared" si="113"/>
        <v>0</v>
      </c>
      <c r="CB98" s="78">
        <v>44652</v>
      </c>
      <c r="CC98" s="112"/>
      <c r="CD98" s="112"/>
      <c r="CE98" s="112"/>
      <c r="CF98" s="112"/>
      <c r="CG98" s="112"/>
      <c r="CI98" s="116">
        <f t="shared" si="114"/>
        <v>0</v>
      </c>
      <c r="CJ98" s="78">
        <v>44652</v>
      </c>
      <c r="CK98" s="112"/>
      <c r="CL98" s="112"/>
      <c r="CM98" s="112"/>
      <c r="CN98" s="112"/>
      <c r="CO98" s="112"/>
      <c r="CQ98" s="116">
        <f t="shared" si="115"/>
        <v>0</v>
      </c>
      <c r="CR98" s="78">
        <v>44652</v>
      </c>
      <c r="CS98" s="112"/>
      <c r="CT98" s="112"/>
      <c r="CU98" s="112"/>
      <c r="CV98" s="112"/>
      <c r="CW98" s="112"/>
    </row>
    <row r="99" spans="15:101">
      <c r="O99" s="116">
        <f t="shared" si="105"/>
        <v>0</v>
      </c>
      <c r="P99" s="78">
        <v>44682</v>
      </c>
      <c r="Q99" s="80"/>
      <c r="R99" s="80"/>
      <c r="S99" s="80"/>
      <c r="T99" s="80"/>
      <c r="U99" s="80"/>
      <c r="V99" s="86"/>
      <c r="W99" s="116">
        <f t="shared" si="106"/>
        <v>0</v>
      </c>
      <c r="X99" s="78">
        <v>44682</v>
      </c>
      <c r="Y99" s="112"/>
      <c r="Z99" s="112"/>
      <c r="AA99" s="112"/>
      <c r="AB99" s="112"/>
      <c r="AC99" s="112"/>
      <c r="AE99" s="116">
        <f t="shared" si="107"/>
        <v>0</v>
      </c>
      <c r="AF99" s="78">
        <v>44682</v>
      </c>
      <c r="AG99" s="112"/>
      <c r="AH99" s="112"/>
      <c r="AI99" s="112"/>
      <c r="AJ99" s="112"/>
      <c r="AK99" s="112"/>
      <c r="AM99" s="116">
        <f t="shared" si="108"/>
        <v>0</v>
      </c>
      <c r="AN99" s="78">
        <v>44682</v>
      </c>
      <c r="AO99" s="112"/>
      <c r="AP99" s="112"/>
      <c r="AQ99" s="112"/>
      <c r="AR99" s="112"/>
      <c r="AS99" s="112"/>
      <c r="AU99" s="116">
        <f t="shared" si="109"/>
        <v>0</v>
      </c>
      <c r="AV99" s="78">
        <v>44682</v>
      </c>
      <c r="AW99" s="112"/>
      <c r="AX99" s="112"/>
      <c r="AY99" s="112"/>
      <c r="AZ99" s="112"/>
      <c r="BA99" s="112"/>
      <c r="BC99" s="116">
        <f t="shared" si="110"/>
        <v>0</v>
      </c>
      <c r="BD99" s="78">
        <v>44682</v>
      </c>
      <c r="BE99" s="112"/>
      <c r="BF99" s="112"/>
      <c r="BG99" s="112"/>
      <c r="BH99" s="112"/>
      <c r="BI99" s="112"/>
      <c r="BK99" s="116">
        <f t="shared" si="111"/>
        <v>0</v>
      </c>
      <c r="BL99" s="78">
        <v>44682</v>
      </c>
      <c r="BM99" s="112"/>
      <c r="BN99" s="112"/>
      <c r="BO99" s="112"/>
      <c r="BP99" s="112"/>
      <c r="BQ99" s="112"/>
      <c r="BS99" s="116">
        <f t="shared" si="112"/>
        <v>0</v>
      </c>
      <c r="BT99" s="78">
        <v>44682</v>
      </c>
      <c r="BU99" s="112"/>
      <c r="BV99" s="112"/>
      <c r="BW99" s="112"/>
      <c r="BX99" s="112"/>
      <c r="BY99" s="112"/>
      <c r="CA99" s="116">
        <f t="shared" si="113"/>
        <v>0</v>
      </c>
      <c r="CB99" s="78">
        <v>44682</v>
      </c>
      <c r="CC99" s="112"/>
      <c r="CD99" s="112"/>
      <c r="CE99" s="112"/>
      <c r="CF99" s="112"/>
      <c r="CG99" s="112"/>
      <c r="CI99" s="116">
        <f t="shared" si="114"/>
        <v>0</v>
      </c>
      <c r="CJ99" s="78">
        <v>44682</v>
      </c>
      <c r="CK99" s="112"/>
      <c r="CL99" s="112"/>
      <c r="CM99" s="112"/>
      <c r="CN99" s="112"/>
      <c r="CO99" s="112"/>
      <c r="CQ99" s="116">
        <f t="shared" si="115"/>
        <v>0</v>
      </c>
      <c r="CR99" s="78">
        <v>44682</v>
      </c>
      <c r="CS99" s="112"/>
      <c r="CT99" s="112"/>
      <c r="CU99" s="112"/>
      <c r="CV99" s="112"/>
      <c r="CW99" s="112"/>
    </row>
    <row r="100" spans="15:101">
      <c r="O100" s="116">
        <f t="shared" si="105"/>
        <v>0</v>
      </c>
      <c r="P100" s="78">
        <v>44713</v>
      </c>
      <c r="Q100" s="80"/>
      <c r="R100" s="80"/>
      <c r="S100" s="80"/>
      <c r="T100" s="80"/>
      <c r="U100" s="80"/>
      <c r="V100" s="86"/>
      <c r="W100" s="116">
        <f t="shared" si="106"/>
        <v>0</v>
      </c>
      <c r="X100" s="78">
        <v>44713</v>
      </c>
      <c r="Y100" s="112"/>
      <c r="Z100" s="112"/>
      <c r="AA100" s="112"/>
      <c r="AB100" s="112"/>
      <c r="AC100" s="112"/>
      <c r="AE100" s="116">
        <f t="shared" si="107"/>
        <v>0</v>
      </c>
      <c r="AF100" s="78">
        <v>44713</v>
      </c>
      <c r="AG100" s="112"/>
      <c r="AH100" s="112"/>
      <c r="AI100" s="112"/>
      <c r="AJ100" s="112"/>
      <c r="AK100" s="112"/>
      <c r="AM100" s="116">
        <f t="shared" si="108"/>
        <v>0</v>
      </c>
      <c r="AN100" s="78">
        <v>44713</v>
      </c>
      <c r="AO100" s="112"/>
      <c r="AP100" s="112"/>
      <c r="AQ100" s="112"/>
      <c r="AR100" s="112"/>
      <c r="AS100" s="112"/>
      <c r="AU100" s="116">
        <f t="shared" si="109"/>
        <v>0</v>
      </c>
      <c r="AV100" s="78">
        <v>44713</v>
      </c>
      <c r="AW100" s="112"/>
      <c r="AX100" s="112"/>
      <c r="AY100" s="112"/>
      <c r="AZ100" s="112"/>
      <c r="BA100" s="112"/>
      <c r="BC100" s="116">
        <f t="shared" si="110"/>
        <v>0</v>
      </c>
      <c r="BD100" s="78">
        <v>44713</v>
      </c>
      <c r="BE100" s="112"/>
      <c r="BF100" s="112"/>
      <c r="BG100" s="112"/>
      <c r="BH100" s="112"/>
      <c r="BI100" s="112"/>
      <c r="BK100" s="116">
        <f t="shared" si="111"/>
        <v>0</v>
      </c>
      <c r="BL100" s="78">
        <v>44713</v>
      </c>
      <c r="BM100" s="112"/>
      <c r="BN100" s="112"/>
      <c r="BO100" s="112"/>
      <c r="BP100" s="112"/>
      <c r="BQ100" s="112"/>
      <c r="BS100" s="116">
        <f t="shared" si="112"/>
        <v>0</v>
      </c>
      <c r="BT100" s="78">
        <v>44713</v>
      </c>
      <c r="BU100" s="112"/>
      <c r="BV100" s="112"/>
      <c r="BW100" s="112"/>
      <c r="BX100" s="112"/>
      <c r="BY100" s="112"/>
      <c r="CA100" s="116">
        <f t="shared" si="113"/>
        <v>0</v>
      </c>
      <c r="CB100" s="78">
        <v>44713</v>
      </c>
      <c r="CC100" s="112"/>
      <c r="CD100" s="112"/>
      <c r="CE100" s="112"/>
      <c r="CF100" s="112"/>
      <c r="CG100" s="112"/>
      <c r="CI100" s="116">
        <f t="shared" si="114"/>
        <v>0</v>
      </c>
      <c r="CJ100" s="78">
        <v>44713</v>
      </c>
      <c r="CK100" s="112"/>
      <c r="CL100" s="112"/>
      <c r="CM100" s="112"/>
      <c r="CN100" s="112"/>
      <c r="CO100" s="112"/>
      <c r="CQ100" s="116">
        <f t="shared" si="115"/>
        <v>0</v>
      </c>
      <c r="CR100" s="78">
        <v>44713</v>
      </c>
      <c r="CS100" s="112"/>
      <c r="CT100" s="112"/>
      <c r="CU100" s="112"/>
      <c r="CV100" s="112"/>
      <c r="CW100" s="112"/>
    </row>
    <row r="101" spans="15:101">
      <c r="O101" s="116">
        <f t="shared" si="105"/>
        <v>0</v>
      </c>
      <c r="P101" s="78">
        <v>44743</v>
      </c>
      <c r="Q101" s="80"/>
      <c r="R101" s="80"/>
      <c r="S101" s="80"/>
      <c r="T101" s="80"/>
      <c r="U101" s="80"/>
      <c r="V101" s="86"/>
      <c r="W101" s="116">
        <f t="shared" si="106"/>
        <v>0</v>
      </c>
      <c r="X101" s="78">
        <v>44743</v>
      </c>
      <c r="Y101" s="112"/>
      <c r="Z101" s="112"/>
      <c r="AA101" s="112"/>
      <c r="AB101" s="112"/>
      <c r="AC101" s="112"/>
      <c r="AE101" s="116">
        <f t="shared" si="107"/>
        <v>0</v>
      </c>
      <c r="AF101" s="78">
        <v>44743</v>
      </c>
      <c r="AG101" s="112"/>
      <c r="AH101" s="112"/>
      <c r="AI101" s="112"/>
      <c r="AJ101" s="112"/>
      <c r="AK101" s="112"/>
      <c r="AM101" s="116">
        <f t="shared" si="108"/>
        <v>0</v>
      </c>
      <c r="AN101" s="78">
        <v>44743</v>
      </c>
      <c r="AO101" s="112"/>
      <c r="AP101" s="112"/>
      <c r="AQ101" s="112"/>
      <c r="AR101" s="112"/>
      <c r="AS101" s="112"/>
      <c r="AU101" s="116">
        <f t="shared" si="109"/>
        <v>0</v>
      </c>
      <c r="AV101" s="78">
        <v>44743</v>
      </c>
      <c r="AW101" s="112"/>
      <c r="AX101" s="112"/>
      <c r="AY101" s="112"/>
      <c r="AZ101" s="112"/>
      <c r="BA101" s="112"/>
      <c r="BC101" s="116">
        <f t="shared" si="110"/>
        <v>0</v>
      </c>
      <c r="BD101" s="78">
        <v>44743</v>
      </c>
      <c r="BE101" s="112"/>
      <c r="BF101" s="112"/>
      <c r="BG101" s="112"/>
      <c r="BH101" s="112"/>
      <c r="BI101" s="112"/>
      <c r="BK101" s="116">
        <f t="shared" si="111"/>
        <v>0</v>
      </c>
      <c r="BL101" s="78">
        <v>44743</v>
      </c>
      <c r="BM101" s="112"/>
      <c r="BN101" s="112"/>
      <c r="BO101" s="112"/>
      <c r="BP101" s="112"/>
      <c r="BQ101" s="112"/>
      <c r="BS101" s="116">
        <f t="shared" si="112"/>
        <v>0</v>
      </c>
      <c r="BT101" s="78">
        <v>44743</v>
      </c>
      <c r="BU101" s="112"/>
      <c r="BV101" s="112"/>
      <c r="BW101" s="112"/>
      <c r="BX101" s="112"/>
      <c r="BY101" s="112"/>
      <c r="CA101" s="116">
        <f t="shared" si="113"/>
        <v>0</v>
      </c>
      <c r="CB101" s="78">
        <v>44743</v>
      </c>
      <c r="CC101" s="112"/>
      <c r="CD101" s="112"/>
      <c r="CE101" s="112"/>
      <c r="CF101" s="112"/>
      <c r="CG101" s="112"/>
      <c r="CI101" s="116">
        <f t="shared" si="114"/>
        <v>0</v>
      </c>
      <c r="CJ101" s="78">
        <v>44743</v>
      </c>
      <c r="CK101" s="112"/>
      <c r="CL101" s="112"/>
      <c r="CM101" s="112"/>
      <c r="CN101" s="112"/>
      <c r="CO101" s="112"/>
      <c r="CQ101" s="116">
        <f t="shared" si="115"/>
        <v>0</v>
      </c>
      <c r="CR101" s="78">
        <v>44743</v>
      </c>
      <c r="CS101" s="112"/>
      <c r="CT101" s="112"/>
      <c r="CU101" s="112"/>
      <c r="CV101" s="112"/>
      <c r="CW101" s="112"/>
    </row>
    <row r="102" spans="15:101">
      <c r="O102" s="116">
        <f t="shared" si="105"/>
        <v>0</v>
      </c>
      <c r="P102" s="78">
        <v>44774</v>
      </c>
      <c r="Q102" s="80"/>
      <c r="R102" s="80"/>
      <c r="S102" s="80"/>
      <c r="T102" s="80"/>
      <c r="U102" s="80"/>
      <c r="V102" s="86"/>
      <c r="W102" s="116">
        <f t="shared" si="106"/>
        <v>0</v>
      </c>
      <c r="X102" s="78">
        <v>44774</v>
      </c>
      <c r="Y102" s="112"/>
      <c r="Z102" s="112"/>
      <c r="AA102" s="112"/>
      <c r="AB102" s="112"/>
      <c r="AC102" s="112"/>
      <c r="AE102" s="116">
        <f t="shared" si="107"/>
        <v>0</v>
      </c>
      <c r="AF102" s="78">
        <v>44774</v>
      </c>
      <c r="AG102" s="112"/>
      <c r="AH102" s="112"/>
      <c r="AI102" s="112"/>
      <c r="AJ102" s="112"/>
      <c r="AK102" s="112"/>
      <c r="AM102" s="116">
        <f t="shared" si="108"/>
        <v>0</v>
      </c>
      <c r="AN102" s="78">
        <v>44774</v>
      </c>
      <c r="AO102" s="112"/>
      <c r="AP102" s="112"/>
      <c r="AQ102" s="112"/>
      <c r="AR102" s="112"/>
      <c r="AS102" s="112"/>
      <c r="AU102" s="116">
        <f t="shared" si="109"/>
        <v>0</v>
      </c>
      <c r="AV102" s="78">
        <v>44774</v>
      </c>
      <c r="AW102" s="112"/>
      <c r="AX102" s="112"/>
      <c r="AY102" s="112"/>
      <c r="AZ102" s="112"/>
      <c r="BA102" s="112"/>
      <c r="BC102" s="116">
        <f t="shared" si="110"/>
        <v>0</v>
      </c>
      <c r="BD102" s="78">
        <v>44774</v>
      </c>
      <c r="BE102" s="112"/>
      <c r="BF102" s="112"/>
      <c r="BG102" s="112"/>
      <c r="BH102" s="112"/>
      <c r="BI102" s="112"/>
      <c r="BK102" s="116">
        <f t="shared" si="111"/>
        <v>0</v>
      </c>
      <c r="BL102" s="78">
        <v>44774</v>
      </c>
      <c r="BM102" s="112"/>
      <c r="BN102" s="112"/>
      <c r="BO102" s="112"/>
      <c r="BP102" s="112"/>
      <c r="BQ102" s="112"/>
      <c r="BS102" s="116">
        <f t="shared" si="112"/>
        <v>0</v>
      </c>
      <c r="BT102" s="78">
        <v>44774</v>
      </c>
      <c r="BU102" s="112"/>
      <c r="BV102" s="112"/>
      <c r="BW102" s="112"/>
      <c r="BX102" s="112"/>
      <c r="BY102" s="112"/>
      <c r="CA102" s="116">
        <f t="shared" si="113"/>
        <v>0</v>
      </c>
      <c r="CB102" s="78">
        <v>44774</v>
      </c>
      <c r="CC102" s="112"/>
      <c r="CD102" s="112"/>
      <c r="CE102" s="112"/>
      <c r="CF102" s="112"/>
      <c r="CG102" s="112"/>
      <c r="CI102" s="116">
        <f t="shared" si="114"/>
        <v>0</v>
      </c>
      <c r="CJ102" s="78">
        <v>44774</v>
      </c>
      <c r="CK102" s="112"/>
      <c r="CL102" s="112"/>
      <c r="CM102" s="112"/>
      <c r="CN102" s="112"/>
      <c r="CO102" s="112"/>
      <c r="CQ102" s="116">
        <f t="shared" si="115"/>
        <v>0</v>
      </c>
      <c r="CR102" s="78">
        <v>44774</v>
      </c>
      <c r="CS102" s="112"/>
      <c r="CT102" s="112"/>
      <c r="CU102" s="112"/>
      <c r="CV102" s="112"/>
      <c r="CW102" s="112"/>
    </row>
    <row r="103" spans="15:101">
      <c r="O103" s="116">
        <f t="shared" si="105"/>
        <v>0</v>
      </c>
      <c r="P103" s="78">
        <v>44805</v>
      </c>
      <c r="Q103" s="80"/>
      <c r="R103" s="80"/>
      <c r="S103" s="80"/>
      <c r="T103" s="80"/>
      <c r="U103" s="80"/>
      <c r="V103" s="86"/>
      <c r="W103" s="116">
        <f t="shared" si="106"/>
        <v>0</v>
      </c>
      <c r="X103" s="78">
        <v>44805</v>
      </c>
      <c r="Y103" s="112"/>
      <c r="Z103" s="112"/>
      <c r="AA103" s="112"/>
      <c r="AB103" s="112"/>
      <c r="AC103" s="112"/>
      <c r="AE103" s="116">
        <f t="shared" si="107"/>
        <v>0</v>
      </c>
      <c r="AF103" s="78">
        <v>44805</v>
      </c>
      <c r="AG103" s="112"/>
      <c r="AH103" s="112"/>
      <c r="AI103" s="112"/>
      <c r="AJ103" s="112"/>
      <c r="AK103" s="112"/>
      <c r="AM103" s="116">
        <f t="shared" si="108"/>
        <v>0</v>
      </c>
      <c r="AN103" s="78">
        <v>44805</v>
      </c>
      <c r="AO103" s="112"/>
      <c r="AP103" s="112"/>
      <c r="AQ103" s="112"/>
      <c r="AR103" s="112"/>
      <c r="AS103" s="112"/>
      <c r="AU103" s="116">
        <f t="shared" si="109"/>
        <v>0</v>
      </c>
      <c r="AV103" s="78">
        <v>44805</v>
      </c>
      <c r="AW103" s="112"/>
      <c r="AX103" s="112"/>
      <c r="AY103" s="112"/>
      <c r="AZ103" s="112"/>
      <c r="BA103" s="112"/>
      <c r="BC103" s="116">
        <f t="shared" si="110"/>
        <v>0</v>
      </c>
      <c r="BD103" s="78">
        <v>44805</v>
      </c>
      <c r="BE103" s="112"/>
      <c r="BF103" s="112"/>
      <c r="BG103" s="112"/>
      <c r="BH103" s="112"/>
      <c r="BI103" s="112"/>
      <c r="BK103" s="116">
        <f t="shared" si="111"/>
        <v>0</v>
      </c>
      <c r="BL103" s="78">
        <v>44805</v>
      </c>
      <c r="BM103" s="112"/>
      <c r="BN103" s="112"/>
      <c r="BO103" s="112"/>
      <c r="BP103" s="112"/>
      <c r="BQ103" s="112"/>
      <c r="BS103" s="116">
        <f t="shared" si="112"/>
        <v>0</v>
      </c>
      <c r="BT103" s="78">
        <v>44805</v>
      </c>
      <c r="BU103" s="112"/>
      <c r="BV103" s="112"/>
      <c r="BW103" s="112"/>
      <c r="BX103" s="112"/>
      <c r="BY103" s="112"/>
      <c r="CA103" s="116">
        <f t="shared" si="113"/>
        <v>0</v>
      </c>
      <c r="CB103" s="78">
        <v>44805</v>
      </c>
      <c r="CC103" s="112"/>
      <c r="CD103" s="112"/>
      <c r="CE103" s="112"/>
      <c r="CF103" s="112"/>
      <c r="CG103" s="112"/>
      <c r="CI103" s="116">
        <f t="shared" si="114"/>
        <v>0</v>
      </c>
      <c r="CJ103" s="78">
        <v>44805</v>
      </c>
      <c r="CK103" s="112"/>
      <c r="CL103" s="112"/>
      <c r="CM103" s="112"/>
      <c r="CN103" s="112"/>
      <c r="CO103" s="112"/>
      <c r="CQ103" s="116">
        <f t="shared" si="115"/>
        <v>0</v>
      </c>
      <c r="CR103" s="78">
        <v>44805</v>
      </c>
      <c r="CS103" s="112"/>
      <c r="CT103" s="112"/>
      <c r="CU103" s="112"/>
      <c r="CV103" s="112"/>
      <c r="CW103" s="112"/>
    </row>
    <row r="104" spans="15:101">
      <c r="O104" s="116">
        <f t="shared" si="105"/>
        <v>0</v>
      </c>
      <c r="P104" s="78">
        <v>44835</v>
      </c>
      <c r="Q104" s="80"/>
      <c r="R104" s="80"/>
      <c r="S104" s="80"/>
      <c r="T104" s="80"/>
      <c r="U104" s="80"/>
      <c r="V104" s="86"/>
      <c r="W104" s="116">
        <f t="shared" si="106"/>
        <v>0</v>
      </c>
      <c r="X104" s="78">
        <v>44835</v>
      </c>
      <c r="Y104" s="112"/>
      <c r="Z104" s="112"/>
      <c r="AA104" s="112"/>
      <c r="AB104" s="112"/>
      <c r="AC104" s="112"/>
      <c r="AE104" s="116">
        <f t="shared" si="107"/>
        <v>0</v>
      </c>
      <c r="AF104" s="78">
        <v>44835</v>
      </c>
      <c r="AG104" s="112"/>
      <c r="AH104" s="112"/>
      <c r="AI104" s="112"/>
      <c r="AJ104" s="112"/>
      <c r="AK104" s="112"/>
      <c r="AM104" s="116">
        <f t="shared" si="108"/>
        <v>0</v>
      </c>
      <c r="AN104" s="78">
        <v>44835</v>
      </c>
      <c r="AO104" s="112"/>
      <c r="AP104" s="112"/>
      <c r="AQ104" s="112"/>
      <c r="AR104" s="112"/>
      <c r="AS104" s="112"/>
      <c r="AU104" s="116">
        <f t="shared" si="109"/>
        <v>0</v>
      </c>
      <c r="AV104" s="78">
        <v>44835</v>
      </c>
      <c r="AW104" s="112"/>
      <c r="AX104" s="112"/>
      <c r="AY104" s="112"/>
      <c r="AZ104" s="112"/>
      <c r="BA104" s="112"/>
      <c r="BC104" s="116">
        <f t="shared" si="110"/>
        <v>0</v>
      </c>
      <c r="BD104" s="78">
        <v>44835</v>
      </c>
      <c r="BE104" s="112"/>
      <c r="BF104" s="112"/>
      <c r="BG104" s="112"/>
      <c r="BH104" s="112"/>
      <c r="BI104" s="112"/>
      <c r="BK104" s="116">
        <f t="shared" si="111"/>
        <v>0</v>
      </c>
      <c r="BL104" s="78">
        <v>44835</v>
      </c>
      <c r="BM104" s="112"/>
      <c r="BN104" s="112"/>
      <c r="BO104" s="112"/>
      <c r="BP104" s="112"/>
      <c r="BQ104" s="112"/>
      <c r="BS104" s="116">
        <f t="shared" si="112"/>
        <v>0</v>
      </c>
      <c r="BT104" s="78">
        <v>44835</v>
      </c>
      <c r="BU104" s="112"/>
      <c r="BV104" s="112"/>
      <c r="BW104" s="112"/>
      <c r="BX104" s="112"/>
      <c r="BY104" s="112"/>
      <c r="CA104" s="116">
        <f t="shared" si="113"/>
        <v>0</v>
      </c>
      <c r="CB104" s="78">
        <v>44835</v>
      </c>
      <c r="CC104" s="112"/>
      <c r="CD104" s="112"/>
      <c r="CE104" s="112"/>
      <c r="CF104" s="112"/>
      <c r="CG104" s="112"/>
      <c r="CI104" s="116">
        <f t="shared" si="114"/>
        <v>0</v>
      </c>
      <c r="CJ104" s="78">
        <v>44835</v>
      </c>
      <c r="CK104" s="112"/>
      <c r="CL104" s="112"/>
      <c r="CM104" s="112"/>
      <c r="CN104" s="112"/>
      <c r="CO104" s="112"/>
      <c r="CQ104" s="116">
        <f t="shared" si="115"/>
        <v>0</v>
      </c>
      <c r="CR104" s="78">
        <v>44835</v>
      </c>
      <c r="CS104" s="112"/>
      <c r="CT104" s="112"/>
      <c r="CU104" s="112"/>
      <c r="CV104" s="112"/>
      <c r="CW104" s="112"/>
    </row>
    <row r="105" spans="15:101">
      <c r="O105" s="116">
        <f t="shared" si="105"/>
        <v>0</v>
      </c>
      <c r="P105" s="78">
        <v>44866</v>
      </c>
      <c r="Q105" s="80"/>
      <c r="R105" s="80"/>
      <c r="S105" s="80"/>
      <c r="T105" s="80"/>
      <c r="U105" s="80"/>
      <c r="V105" s="86"/>
      <c r="W105" s="116">
        <f t="shared" si="106"/>
        <v>0</v>
      </c>
      <c r="X105" s="78">
        <v>44866</v>
      </c>
      <c r="Y105" s="112"/>
      <c r="Z105" s="112"/>
      <c r="AA105" s="112"/>
      <c r="AB105" s="112"/>
      <c r="AC105" s="112"/>
      <c r="AE105" s="116">
        <f t="shared" si="107"/>
        <v>0</v>
      </c>
      <c r="AF105" s="78">
        <v>44866</v>
      </c>
      <c r="AG105" s="112"/>
      <c r="AH105" s="112"/>
      <c r="AI105" s="112"/>
      <c r="AJ105" s="112"/>
      <c r="AK105" s="112"/>
      <c r="AM105" s="116">
        <f t="shared" si="108"/>
        <v>0</v>
      </c>
      <c r="AN105" s="78">
        <v>44866</v>
      </c>
      <c r="AO105" s="112"/>
      <c r="AP105" s="112"/>
      <c r="AQ105" s="112"/>
      <c r="AR105" s="112"/>
      <c r="AS105" s="112"/>
      <c r="AU105" s="116">
        <f t="shared" si="109"/>
        <v>0</v>
      </c>
      <c r="AV105" s="78">
        <v>44866</v>
      </c>
      <c r="AW105" s="112"/>
      <c r="AX105" s="112"/>
      <c r="AY105" s="112"/>
      <c r="AZ105" s="112"/>
      <c r="BA105" s="112"/>
      <c r="BC105" s="116">
        <f t="shared" si="110"/>
        <v>0</v>
      </c>
      <c r="BD105" s="78">
        <v>44866</v>
      </c>
      <c r="BE105" s="112"/>
      <c r="BF105" s="112"/>
      <c r="BG105" s="112"/>
      <c r="BH105" s="112"/>
      <c r="BI105" s="112"/>
      <c r="BK105" s="116">
        <f t="shared" si="111"/>
        <v>0</v>
      </c>
      <c r="BL105" s="78">
        <v>44866</v>
      </c>
      <c r="BM105" s="112"/>
      <c r="BN105" s="112"/>
      <c r="BO105" s="112"/>
      <c r="BP105" s="112"/>
      <c r="BQ105" s="112"/>
      <c r="BS105" s="116">
        <f t="shared" si="112"/>
        <v>0</v>
      </c>
      <c r="BT105" s="78">
        <v>44866</v>
      </c>
      <c r="BU105" s="112"/>
      <c r="BV105" s="112"/>
      <c r="BW105" s="112"/>
      <c r="BX105" s="112"/>
      <c r="BY105" s="112"/>
      <c r="CA105" s="116">
        <f t="shared" si="113"/>
        <v>0</v>
      </c>
      <c r="CB105" s="78">
        <v>44866</v>
      </c>
      <c r="CC105" s="112"/>
      <c r="CD105" s="112"/>
      <c r="CE105" s="112"/>
      <c r="CF105" s="112"/>
      <c r="CG105" s="112"/>
      <c r="CI105" s="116">
        <f t="shared" si="114"/>
        <v>0</v>
      </c>
      <c r="CJ105" s="78">
        <v>44866</v>
      </c>
      <c r="CK105" s="112"/>
      <c r="CL105" s="112"/>
      <c r="CM105" s="112"/>
      <c r="CN105" s="112"/>
      <c r="CO105" s="112"/>
      <c r="CQ105" s="116">
        <f t="shared" si="115"/>
        <v>0</v>
      </c>
      <c r="CR105" s="78">
        <v>44866</v>
      </c>
      <c r="CS105" s="112"/>
      <c r="CT105" s="112"/>
      <c r="CU105" s="112"/>
      <c r="CV105" s="112"/>
      <c r="CW105" s="112"/>
    </row>
    <row r="106" spans="15:101">
      <c r="O106" s="116">
        <f t="shared" si="105"/>
        <v>0</v>
      </c>
      <c r="P106" s="83">
        <v>44896</v>
      </c>
      <c r="Q106" s="84"/>
      <c r="R106" s="84"/>
      <c r="S106" s="84"/>
      <c r="T106" s="84"/>
      <c r="U106" s="84"/>
      <c r="V106" s="86"/>
      <c r="W106" s="116">
        <f t="shared" si="106"/>
        <v>0</v>
      </c>
      <c r="X106" s="83">
        <v>44896</v>
      </c>
      <c r="Y106" s="113"/>
      <c r="Z106" s="113"/>
      <c r="AA106" s="113"/>
      <c r="AB106" s="113"/>
      <c r="AC106" s="113"/>
      <c r="AE106" s="116">
        <f t="shared" si="107"/>
        <v>0</v>
      </c>
      <c r="AF106" s="83">
        <v>44896</v>
      </c>
      <c r="AG106" s="113"/>
      <c r="AH106" s="113"/>
      <c r="AI106" s="113"/>
      <c r="AJ106" s="113"/>
      <c r="AK106" s="113"/>
      <c r="AM106" s="116">
        <f t="shared" si="108"/>
        <v>0</v>
      </c>
      <c r="AN106" s="83">
        <v>44896</v>
      </c>
      <c r="AO106" s="113"/>
      <c r="AP106" s="113"/>
      <c r="AQ106" s="113"/>
      <c r="AR106" s="113"/>
      <c r="AS106" s="113"/>
      <c r="AU106" s="116">
        <f t="shared" si="109"/>
        <v>0</v>
      </c>
      <c r="AV106" s="83">
        <v>44896</v>
      </c>
      <c r="AW106" s="113"/>
      <c r="AX106" s="113"/>
      <c r="AY106" s="113"/>
      <c r="AZ106" s="113"/>
      <c r="BA106" s="113"/>
      <c r="BC106" s="116">
        <f t="shared" si="110"/>
        <v>0</v>
      </c>
      <c r="BD106" s="83">
        <v>44896</v>
      </c>
      <c r="BE106" s="113"/>
      <c r="BF106" s="113"/>
      <c r="BG106" s="113"/>
      <c r="BH106" s="113"/>
      <c r="BI106" s="113"/>
      <c r="BK106" s="116">
        <f t="shared" si="111"/>
        <v>0</v>
      </c>
      <c r="BL106" s="83">
        <v>44896</v>
      </c>
      <c r="BM106" s="113"/>
      <c r="BN106" s="113"/>
      <c r="BO106" s="113"/>
      <c r="BP106" s="113"/>
      <c r="BQ106" s="113"/>
      <c r="BS106" s="116">
        <f t="shared" si="112"/>
        <v>0</v>
      </c>
      <c r="BT106" s="83">
        <v>44896</v>
      </c>
      <c r="BU106" s="113"/>
      <c r="BV106" s="113"/>
      <c r="BW106" s="113"/>
      <c r="BX106" s="113"/>
      <c r="BY106" s="113"/>
      <c r="CA106" s="116">
        <f t="shared" si="113"/>
        <v>0</v>
      </c>
      <c r="CB106" s="83">
        <v>44896</v>
      </c>
      <c r="CC106" s="113"/>
      <c r="CD106" s="113"/>
      <c r="CE106" s="113"/>
      <c r="CF106" s="113"/>
      <c r="CG106" s="113"/>
      <c r="CI106" s="116">
        <f t="shared" si="114"/>
        <v>0</v>
      </c>
      <c r="CJ106" s="83">
        <v>44896</v>
      </c>
      <c r="CK106" s="113"/>
      <c r="CL106" s="113"/>
      <c r="CM106" s="113"/>
      <c r="CN106" s="113"/>
      <c r="CO106" s="113"/>
      <c r="CQ106" s="116">
        <f t="shared" si="115"/>
        <v>0</v>
      </c>
      <c r="CR106" s="83">
        <v>44896</v>
      </c>
      <c r="CS106" s="113"/>
      <c r="CT106" s="113"/>
      <c r="CU106" s="113"/>
      <c r="CV106" s="113"/>
      <c r="CW106" s="113"/>
    </row>
    <row r="107" spans="15:101">
      <c r="O107" s="138" t="s">
        <v>20</v>
      </c>
      <c r="P107" s="87">
        <f>P94+1</f>
        <v>2022</v>
      </c>
      <c r="Q107" s="94">
        <f>SUM(Q95:Q106)</f>
        <v>0</v>
      </c>
      <c r="R107" s="94">
        <f>SUM(R95:R106)</f>
        <v>0</v>
      </c>
      <c r="S107" s="94">
        <f>SUM(S95:S106)</f>
        <v>0</v>
      </c>
      <c r="T107" s="94">
        <f>SUM(T95:T106)</f>
        <v>0</v>
      </c>
      <c r="U107" s="94">
        <f>U106</f>
        <v>0</v>
      </c>
      <c r="V107" s="101"/>
      <c r="W107" s="138" t="s">
        <v>20</v>
      </c>
      <c r="X107" s="87">
        <f>X94+1</f>
        <v>2022</v>
      </c>
      <c r="Y107" s="107">
        <f>SUM(Y95:Y106)</f>
        <v>0</v>
      </c>
      <c r="Z107" s="107">
        <f>SUM(Z95:Z106)</f>
        <v>0</v>
      </c>
      <c r="AA107" s="107">
        <f>SUM(AA95:AA106)</f>
        <v>0</v>
      </c>
      <c r="AB107" s="107">
        <f>SUM(AB95:AB106)</f>
        <v>0</v>
      </c>
      <c r="AC107" s="107">
        <f>AC106</f>
        <v>0</v>
      </c>
      <c r="AE107" s="138" t="s">
        <v>20</v>
      </c>
      <c r="AF107" s="87">
        <f>AF94+1</f>
        <v>2022</v>
      </c>
      <c r="AG107" s="107">
        <f>SUM(AG95:AG106)</f>
        <v>0</v>
      </c>
      <c r="AH107" s="107">
        <f>SUM(AH95:AH106)</f>
        <v>0</v>
      </c>
      <c r="AI107" s="107">
        <f>SUM(AI95:AI106)</f>
        <v>0</v>
      </c>
      <c r="AJ107" s="107">
        <f>SUM(AJ95:AJ106)</f>
        <v>0</v>
      </c>
      <c r="AK107" s="107">
        <f>AK106</f>
        <v>0</v>
      </c>
      <c r="AM107" s="138" t="s">
        <v>20</v>
      </c>
      <c r="AN107" s="87">
        <f>AN94+1</f>
        <v>2022</v>
      </c>
      <c r="AO107" s="107">
        <f>SUM(AO95:AO106)</f>
        <v>0</v>
      </c>
      <c r="AP107" s="107">
        <f>SUM(AP95:AP106)</f>
        <v>0</v>
      </c>
      <c r="AQ107" s="107">
        <f>SUM(AQ95:AQ106)</f>
        <v>0</v>
      </c>
      <c r="AR107" s="107">
        <f>SUM(AR95:AR106)</f>
        <v>0</v>
      </c>
      <c r="AS107" s="107">
        <f>AS106</f>
        <v>0</v>
      </c>
      <c r="AU107" s="138" t="s">
        <v>20</v>
      </c>
      <c r="AV107" s="87">
        <f>AV94+1</f>
        <v>2022</v>
      </c>
      <c r="AW107" s="107">
        <f>SUM(AW95:AW106)</f>
        <v>0</v>
      </c>
      <c r="AX107" s="107">
        <f>SUM(AX95:AX106)</f>
        <v>0</v>
      </c>
      <c r="AY107" s="107">
        <f>SUM(AY95:AY106)</f>
        <v>0</v>
      </c>
      <c r="AZ107" s="107">
        <f>SUM(AZ95:AZ106)</f>
        <v>0</v>
      </c>
      <c r="BA107" s="107">
        <f>BA106</f>
        <v>0</v>
      </c>
      <c r="BC107" s="138" t="s">
        <v>20</v>
      </c>
      <c r="BD107" s="87">
        <f>BD94+1</f>
        <v>2022</v>
      </c>
      <c r="BE107" s="107">
        <f>SUM(BE95:BE106)</f>
        <v>0</v>
      </c>
      <c r="BF107" s="107">
        <f>SUM(BF95:BF106)</f>
        <v>0</v>
      </c>
      <c r="BG107" s="107">
        <f>SUM(BG95:BG106)</f>
        <v>0</v>
      </c>
      <c r="BH107" s="107">
        <f>SUM(BH95:BH106)</f>
        <v>0</v>
      </c>
      <c r="BI107" s="107">
        <f>BI106</f>
        <v>0</v>
      </c>
      <c r="BK107" s="138" t="s">
        <v>20</v>
      </c>
      <c r="BL107" s="87">
        <f>BL94+1</f>
        <v>2022</v>
      </c>
      <c r="BM107" s="107">
        <f>SUM(BM95:BM106)</f>
        <v>0</v>
      </c>
      <c r="BN107" s="107">
        <f>SUM(BN95:BN106)</f>
        <v>0</v>
      </c>
      <c r="BO107" s="107">
        <f>SUM(BO95:BO106)</f>
        <v>0</v>
      </c>
      <c r="BP107" s="107">
        <f>SUM(BP95:BP106)</f>
        <v>0</v>
      </c>
      <c r="BQ107" s="107">
        <f>BQ106</f>
        <v>0</v>
      </c>
      <c r="BS107" s="138" t="s">
        <v>20</v>
      </c>
      <c r="BT107" s="87">
        <f>BT94+1</f>
        <v>2022</v>
      </c>
      <c r="BU107" s="107">
        <f>SUM(BU95:BU106)</f>
        <v>0</v>
      </c>
      <c r="BV107" s="107">
        <f>SUM(BV95:BV106)</f>
        <v>0</v>
      </c>
      <c r="BW107" s="107">
        <f>SUM(BW95:BW106)</f>
        <v>0</v>
      </c>
      <c r="BX107" s="107">
        <f>SUM(BX95:BX106)</f>
        <v>0</v>
      </c>
      <c r="BY107" s="107">
        <f>BY106</f>
        <v>0</v>
      </c>
      <c r="CA107" s="138" t="s">
        <v>20</v>
      </c>
      <c r="CB107" s="87">
        <f>CB94+1</f>
        <v>2022</v>
      </c>
      <c r="CC107" s="107">
        <f>SUM(CC95:CC106)</f>
        <v>0</v>
      </c>
      <c r="CD107" s="107">
        <f>SUM(CD95:CD106)</f>
        <v>0</v>
      </c>
      <c r="CE107" s="107">
        <f>SUM(CE95:CE106)</f>
        <v>0</v>
      </c>
      <c r="CF107" s="107">
        <f>SUM(CF95:CF106)</f>
        <v>0</v>
      </c>
      <c r="CG107" s="107">
        <f>CG106</f>
        <v>0</v>
      </c>
      <c r="CI107" s="138" t="s">
        <v>20</v>
      </c>
      <c r="CJ107" s="87">
        <f>CJ94+1</f>
        <v>2022</v>
      </c>
      <c r="CK107" s="107">
        <f>SUM(CK95:CK106)</f>
        <v>0</v>
      </c>
      <c r="CL107" s="107">
        <f>SUM(CL95:CL106)</f>
        <v>0</v>
      </c>
      <c r="CM107" s="107">
        <f>SUM(CM95:CM106)</f>
        <v>0</v>
      </c>
      <c r="CN107" s="107">
        <f>SUM(CN95:CN106)</f>
        <v>0</v>
      </c>
      <c r="CO107" s="107">
        <f>CO106</f>
        <v>0</v>
      </c>
      <c r="CQ107" s="138" t="s">
        <v>20</v>
      </c>
      <c r="CR107" s="87">
        <f>CR94+1</f>
        <v>2022</v>
      </c>
      <c r="CS107" s="107">
        <f>SUM(CS95:CS106)</f>
        <v>0</v>
      </c>
      <c r="CT107" s="107">
        <f>SUM(CT95:CT106)</f>
        <v>0</v>
      </c>
      <c r="CU107" s="107">
        <f>SUM(CU95:CU106)</f>
        <v>0</v>
      </c>
      <c r="CV107" s="107">
        <f>SUM(CV95:CV106)</f>
        <v>0</v>
      </c>
      <c r="CW107" s="107">
        <f>CW106</f>
        <v>0</v>
      </c>
    </row>
    <row r="108" spans="15:101">
      <c r="O108" s="116">
        <f>IF(AND(Q108&gt;0,O106&gt;=0),O106+1,0)</f>
        <v>0</v>
      </c>
      <c r="P108" s="77">
        <v>44927</v>
      </c>
      <c r="Q108" s="82"/>
      <c r="R108" s="82"/>
      <c r="S108" s="82"/>
      <c r="T108" s="82"/>
      <c r="U108" s="82"/>
      <c r="V108" s="86"/>
      <c r="W108" s="116">
        <f>IF(AND(Y108&gt;0,W106&gt;=0),W106+1,0)</f>
        <v>0</v>
      </c>
      <c r="X108" s="77">
        <v>44927</v>
      </c>
      <c r="Y108" s="114"/>
      <c r="Z108" s="114"/>
      <c r="AA108" s="114"/>
      <c r="AB108" s="114"/>
      <c r="AC108" s="114"/>
      <c r="AE108" s="116">
        <f>IF(AND(AG108&gt;0,AE106&gt;=0),AE106+1,0)</f>
        <v>0</v>
      </c>
      <c r="AF108" s="77">
        <v>44927</v>
      </c>
      <c r="AG108" s="114"/>
      <c r="AH108" s="114"/>
      <c r="AI108" s="114"/>
      <c r="AJ108" s="114"/>
      <c r="AK108" s="114"/>
      <c r="AM108" s="116">
        <f>IF(AND(AO108&gt;0,AM106&gt;=0),AM106+1,0)</f>
        <v>0</v>
      </c>
      <c r="AN108" s="77">
        <v>44927</v>
      </c>
      <c r="AO108" s="114"/>
      <c r="AP108" s="114"/>
      <c r="AQ108" s="114"/>
      <c r="AR108" s="114"/>
      <c r="AS108" s="114"/>
      <c r="AU108" s="116">
        <f>IF(AND(AW108&gt;0,AU106&gt;=0),AU106+1,0)</f>
        <v>0</v>
      </c>
      <c r="AV108" s="77">
        <v>44927</v>
      </c>
      <c r="AW108" s="114"/>
      <c r="AX108" s="114"/>
      <c r="AY108" s="114"/>
      <c r="AZ108" s="114"/>
      <c r="BA108" s="114"/>
      <c r="BC108" s="116">
        <f>IF(AND(BE108&gt;0,BC106&gt;=0),BC106+1,0)</f>
        <v>0</v>
      </c>
      <c r="BD108" s="77">
        <v>44927</v>
      </c>
      <c r="BE108" s="114"/>
      <c r="BF108" s="114"/>
      <c r="BG108" s="114"/>
      <c r="BH108" s="114"/>
      <c r="BI108" s="114"/>
      <c r="BK108" s="116">
        <f>IF(AND(BM108&gt;0,BK106&gt;=0),BK106+1,0)</f>
        <v>0</v>
      </c>
      <c r="BL108" s="77">
        <v>44927</v>
      </c>
      <c r="BM108" s="114"/>
      <c r="BN108" s="114"/>
      <c r="BO108" s="114"/>
      <c r="BP108" s="114"/>
      <c r="BQ108" s="114"/>
      <c r="BS108" s="116">
        <f>IF(AND(BU108&gt;0,BS106&gt;=0),BS106+1,0)</f>
        <v>0</v>
      </c>
      <c r="BT108" s="77">
        <v>44927</v>
      </c>
      <c r="BU108" s="114"/>
      <c r="BV108" s="114"/>
      <c r="BW108" s="114"/>
      <c r="BX108" s="114"/>
      <c r="BY108" s="114"/>
      <c r="CA108" s="116">
        <f>IF(AND(CC108&gt;0,CA106&gt;=0),CA106+1,0)</f>
        <v>0</v>
      </c>
      <c r="CB108" s="77">
        <v>44927</v>
      </c>
      <c r="CC108" s="114"/>
      <c r="CD108" s="114"/>
      <c r="CE108" s="114"/>
      <c r="CF108" s="114"/>
      <c r="CG108" s="114"/>
      <c r="CI108" s="116">
        <f>IF(AND(CK108&gt;0,CI106&gt;=0),CI106+1,0)</f>
        <v>0</v>
      </c>
      <c r="CJ108" s="77">
        <v>44927</v>
      </c>
      <c r="CK108" s="114"/>
      <c r="CL108" s="114"/>
      <c r="CM108" s="114"/>
      <c r="CN108" s="114"/>
      <c r="CO108" s="114"/>
      <c r="CQ108" s="116">
        <f>IF(AND(CS108&gt;0,CQ106&gt;=0),CQ106+1,0)</f>
        <v>0</v>
      </c>
      <c r="CR108" s="77">
        <v>44927</v>
      </c>
      <c r="CS108" s="114"/>
      <c r="CT108" s="114"/>
      <c r="CU108" s="114"/>
      <c r="CV108" s="114"/>
      <c r="CW108" s="114"/>
    </row>
    <row r="109" spans="15:101">
      <c r="O109" s="116">
        <f t="shared" ref="O109:O119" si="116">IF(AND(Q109&gt;0,O108&gt;=0),O108+1,0)</f>
        <v>0</v>
      </c>
      <c r="P109" s="78">
        <v>44958</v>
      </c>
      <c r="Q109" s="80"/>
      <c r="R109" s="80"/>
      <c r="S109" s="80"/>
      <c r="T109" s="80"/>
      <c r="U109" s="80"/>
      <c r="V109" s="86"/>
      <c r="W109" s="116">
        <f t="shared" ref="W109:W119" si="117">IF(AND(Y109&gt;0,W108&gt;=0),W108+1,0)</f>
        <v>0</v>
      </c>
      <c r="X109" s="78">
        <v>44958</v>
      </c>
      <c r="Y109" s="112"/>
      <c r="Z109" s="112"/>
      <c r="AA109" s="112"/>
      <c r="AB109" s="112"/>
      <c r="AC109" s="112"/>
      <c r="AE109" s="116">
        <f t="shared" ref="AE109:AE119" si="118">IF(AND(AG109&gt;0,AE108&gt;=0),AE108+1,0)</f>
        <v>0</v>
      </c>
      <c r="AF109" s="78">
        <v>44958</v>
      </c>
      <c r="AG109" s="112"/>
      <c r="AH109" s="112"/>
      <c r="AI109" s="112"/>
      <c r="AJ109" s="112"/>
      <c r="AK109" s="112"/>
      <c r="AM109" s="116">
        <f t="shared" ref="AM109:AM119" si="119">IF(AND(AO109&gt;0,AM108&gt;=0),AM108+1,0)</f>
        <v>0</v>
      </c>
      <c r="AN109" s="78">
        <v>44958</v>
      </c>
      <c r="AO109" s="112"/>
      <c r="AP109" s="112"/>
      <c r="AQ109" s="112"/>
      <c r="AR109" s="112"/>
      <c r="AS109" s="112"/>
      <c r="AU109" s="116">
        <f t="shared" ref="AU109:AU119" si="120">IF(AND(AW109&gt;0,AU108&gt;=0),AU108+1,0)</f>
        <v>0</v>
      </c>
      <c r="AV109" s="78">
        <v>44958</v>
      </c>
      <c r="AW109" s="112"/>
      <c r="AX109" s="112"/>
      <c r="AY109" s="112"/>
      <c r="AZ109" s="112"/>
      <c r="BA109" s="112"/>
      <c r="BC109" s="116">
        <f t="shared" ref="BC109:BC119" si="121">IF(AND(BE109&gt;0,BC108&gt;=0),BC108+1,0)</f>
        <v>0</v>
      </c>
      <c r="BD109" s="78">
        <v>44958</v>
      </c>
      <c r="BE109" s="112"/>
      <c r="BF109" s="112"/>
      <c r="BG109" s="112"/>
      <c r="BH109" s="112"/>
      <c r="BI109" s="112"/>
      <c r="BK109" s="116">
        <f t="shared" ref="BK109:BK119" si="122">IF(AND(BM109&gt;0,BK108&gt;=0),BK108+1,0)</f>
        <v>0</v>
      </c>
      <c r="BL109" s="78">
        <v>44958</v>
      </c>
      <c r="BM109" s="112"/>
      <c r="BN109" s="112"/>
      <c r="BO109" s="112"/>
      <c r="BP109" s="112"/>
      <c r="BQ109" s="112"/>
      <c r="BS109" s="116">
        <f t="shared" ref="BS109:BS119" si="123">IF(AND(BU109&gt;0,BS108&gt;=0),BS108+1,0)</f>
        <v>0</v>
      </c>
      <c r="BT109" s="78">
        <v>44958</v>
      </c>
      <c r="BU109" s="112"/>
      <c r="BV109" s="112"/>
      <c r="BW109" s="112"/>
      <c r="BX109" s="112"/>
      <c r="BY109" s="112"/>
      <c r="CA109" s="116">
        <f t="shared" ref="CA109:CA119" si="124">IF(AND(CC109&gt;0,CA108&gt;=0),CA108+1,0)</f>
        <v>0</v>
      </c>
      <c r="CB109" s="78">
        <v>44958</v>
      </c>
      <c r="CC109" s="112"/>
      <c r="CD109" s="112"/>
      <c r="CE109" s="112"/>
      <c r="CF109" s="112"/>
      <c r="CG109" s="112"/>
      <c r="CI109" s="116">
        <f t="shared" ref="CI109:CI119" si="125">IF(AND(CK109&gt;0,CI108&gt;=0),CI108+1,0)</f>
        <v>0</v>
      </c>
      <c r="CJ109" s="78">
        <v>44958</v>
      </c>
      <c r="CK109" s="112"/>
      <c r="CL109" s="112"/>
      <c r="CM109" s="112"/>
      <c r="CN109" s="112"/>
      <c r="CO109" s="112"/>
      <c r="CQ109" s="116">
        <f t="shared" ref="CQ109:CQ119" si="126">IF(AND(CS109&gt;0,CQ108&gt;=0),CQ108+1,0)</f>
        <v>0</v>
      </c>
      <c r="CR109" s="78">
        <v>44958</v>
      </c>
      <c r="CS109" s="112"/>
      <c r="CT109" s="112"/>
      <c r="CU109" s="112"/>
      <c r="CV109" s="112"/>
      <c r="CW109" s="112"/>
    </row>
    <row r="110" spans="15:101">
      <c r="O110" s="116">
        <f t="shared" si="116"/>
        <v>0</v>
      </c>
      <c r="P110" s="78">
        <v>44986</v>
      </c>
      <c r="Q110" s="80"/>
      <c r="R110" s="80"/>
      <c r="S110" s="80"/>
      <c r="T110" s="80"/>
      <c r="U110" s="80"/>
      <c r="V110" s="86"/>
      <c r="W110" s="116">
        <f t="shared" si="117"/>
        <v>0</v>
      </c>
      <c r="X110" s="78">
        <v>44986</v>
      </c>
      <c r="Y110" s="112"/>
      <c r="Z110" s="112"/>
      <c r="AA110" s="112"/>
      <c r="AB110" s="112"/>
      <c r="AC110" s="112"/>
      <c r="AE110" s="116">
        <f t="shared" si="118"/>
        <v>0</v>
      </c>
      <c r="AF110" s="78">
        <v>44986</v>
      </c>
      <c r="AG110" s="112"/>
      <c r="AH110" s="112"/>
      <c r="AI110" s="112"/>
      <c r="AJ110" s="112"/>
      <c r="AK110" s="112"/>
      <c r="AM110" s="116">
        <f t="shared" si="119"/>
        <v>0</v>
      </c>
      <c r="AN110" s="78">
        <v>44986</v>
      </c>
      <c r="AO110" s="112"/>
      <c r="AP110" s="112"/>
      <c r="AQ110" s="112"/>
      <c r="AR110" s="112"/>
      <c r="AS110" s="112"/>
      <c r="AU110" s="116">
        <f t="shared" si="120"/>
        <v>0</v>
      </c>
      <c r="AV110" s="78">
        <v>44986</v>
      </c>
      <c r="AW110" s="112"/>
      <c r="AX110" s="112"/>
      <c r="AY110" s="112"/>
      <c r="AZ110" s="112"/>
      <c r="BA110" s="112"/>
      <c r="BC110" s="116">
        <f t="shared" si="121"/>
        <v>0</v>
      </c>
      <c r="BD110" s="78">
        <v>44986</v>
      </c>
      <c r="BE110" s="112"/>
      <c r="BF110" s="112"/>
      <c r="BG110" s="112"/>
      <c r="BH110" s="112"/>
      <c r="BI110" s="112"/>
      <c r="BK110" s="116">
        <f t="shared" si="122"/>
        <v>0</v>
      </c>
      <c r="BL110" s="78">
        <v>44986</v>
      </c>
      <c r="BM110" s="112"/>
      <c r="BN110" s="112"/>
      <c r="BO110" s="112"/>
      <c r="BP110" s="112"/>
      <c r="BQ110" s="112"/>
      <c r="BS110" s="116">
        <f t="shared" si="123"/>
        <v>0</v>
      </c>
      <c r="BT110" s="78">
        <v>44986</v>
      </c>
      <c r="BU110" s="112"/>
      <c r="BV110" s="112"/>
      <c r="BW110" s="112"/>
      <c r="BX110" s="112"/>
      <c r="BY110" s="112"/>
      <c r="CA110" s="116">
        <f t="shared" si="124"/>
        <v>0</v>
      </c>
      <c r="CB110" s="78">
        <v>44986</v>
      </c>
      <c r="CC110" s="112"/>
      <c r="CD110" s="112"/>
      <c r="CE110" s="112"/>
      <c r="CF110" s="112"/>
      <c r="CG110" s="112"/>
      <c r="CI110" s="116">
        <f t="shared" si="125"/>
        <v>0</v>
      </c>
      <c r="CJ110" s="78">
        <v>44986</v>
      </c>
      <c r="CK110" s="112"/>
      <c r="CL110" s="112"/>
      <c r="CM110" s="112"/>
      <c r="CN110" s="112"/>
      <c r="CO110" s="112"/>
      <c r="CQ110" s="116">
        <f t="shared" si="126"/>
        <v>0</v>
      </c>
      <c r="CR110" s="78">
        <v>44986</v>
      </c>
      <c r="CS110" s="112"/>
      <c r="CT110" s="112"/>
      <c r="CU110" s="112"/>
      <c r="CV110" s="112"/>
      <c r="CW110" s="112"/>
    </row>
    <row r="111" spans="15:101">
      <c r="O111" s="116">
        <f t="shared" si="116"/>
        <v>0</v>
      </c>
      <c r="P111" s="78">
        <v>45017</v>
      </c>
      <c r="Q111" s="80"/>
      <c r="R111" s="80"/>
      <c r="S111" s="80"/>
      <c r="T111" s="80"/>
      <c r="U111" s="80"/>
      <c r="V111" s="86"/>
      <c r="W111" s="116">
        <f t="shared" si="117"/>
        <v>0</v>
      </c>
      <c r="X111" s="78">
        <v>45017</v>
      </c>
      <c r="Y111" s="112"/>
      <c r="Z111" s="112"/>
      <c r="AA111" s="112"/>
      <c r="AB111" s="112"/>
      <c r="AC111" s="112"/>
      <c r="AE111" s="116">
        <f t="shared" si="118"/>
        <v>0</v>
      </c>
      <c r="AF111" s="78">
        <v>45017</v>
      </c>
      <c r="AG111" s="112"/>
      <c r="AH111" s="112"/>
      <c r="AI111" s="112"/>
      <c r="AJ111" s="112"/>
      <c r="AK111" s="112"/>
      <c r="AM111" s="116">
        <f t="shared" si="119"/>
        <v>0</v>
      </c>
      <c r="AN111" s="78">
        <v>45017</v>
      </c>
      <c r="AO111" s="112"/>
      <c r="AP111" s="112"/>
      <c r="AQ111" s="112"/>
      <c r="AR111" s="112"/>
      <c r="AS111" s="112"/>
      <c r="AU111" s="116">
        <f t="shared" si="120"/>
        <v>0</v>
      </c>
      <c r="AV111" s="78">
        <v>45017</v>
      </c>
      <c r="AW111" s="112"/>
      <c r="AX111" s="112"/>
      <c r="AY111" s="112"/>
      <c r="AZ111" s="112"/>
      <c r="BA111" s="112"/>
      <c r="BC111" s="116">
        <f t="shared" si="121"/>
        <v>0</v>
      </c>
      <c r="BD111" s="78">
        <v>45017</v>
      </c>
      <c r="BE111" s="112"/>
      <c r="BF111" s="112"/>
      <c r="BG111" s="112"/>
      <c r="BH111" s="112"/>
      <c r="BI111" s="112"/>
      <c r="BK111" s="116">
        <f t="shared" si="122"/>
        <v>0</v>
      </c>
      <c r="BL111" s="78">
        <v>45017</v>
      </c>
      <c r="BM111" s="112"/>
      <c r="BN111" s="112"/>
      <c r="BO111" s="112"/>
      <c r="BP111" s="112"/>
      <c r="BQ111" s="112"/>
      <c r="BS111" s="116">
        <f t="shared" si="123"/>
        <v>0</v>
      </c>
      <c r="BT111" s="78">
        <v>45017</v>
      </c>
      <c r="BU111" s="112"/>
      <c r="BV111" s="112"/>
      <c r="BW111" s="112"/>
      <c r="BX111" s="112"/>
      <c r="BY111" s="112"/>
      <c r="CA111" s="116">
        <f t="shared" si="124"/>
        <v>0</v>
      </c>
      <c r="CB111" s="78">
        <v>45017</v>
      </c>
      <c r="CC111" s="112"/>
      <c r="CD111" s="112"/>
      <c r="CE111" s="112"/>
      <c r="CF111" s="112"/>
      <c r="CG111" s="112"/>
      <c r="CI111" s="116">
        <f t="shared" si="125"/>
        <v>0</v>
      </c>
      <c r="CJ111" s="78">
        <v>45017</v>
      </c>
      <c r="CK111" s="112"/>
      <c r="CL111" s="112"/>
      <c r="CM111" s="112"/>
      <c r="CN111" s="112"/>
      <c r="CO111" s="112"/>
      <c r="CQ111" s="116">
        <f t="shared" si="126"/>
        <v>0</v>
      </c>
      <c r="CR111" s="78">
        <v>45017</v>
      </c>
      <c r="CS111" s="112"/>
      <c r="CT111" s="112"/>
      <c r="CU111" s="112"/>
      <c r="CV111" s="112"/>
      <c r="CW111" s="112"/>
    </row>
    <row r="112" spans="15:101">
      <c r="O112" s="116">
        <f t="shared" si="116"/>
        <v>0</v>
      </c>
      <c r="P112" s="78">
        <v>45047</v>
      </c>
      <c r="Q112" s="80"/>
      <c r="R112" s="80"/>
      <c r="S112" s="80"/>
      <c r="T112" s="80"/>
      <c r="U112" s="80"/>
      <c r="V112" s="86"/>
      <c r="W112" s="116">
        <f t="shared" si="117"/>
        <v>0</v>
      </c>
      <c r="X112" s="78">
        <v>45047</v>
      </c>
      <c r="Y112" s="112"/>
      <c r="Z112" s="112"/>
      <c r="AA112" s="112"/>
      <c r="AB112" s="112"/>
      <c r="AC112" s="112"/>
      <c r="AE112" s="116">
        <f t="shared" si="118"/>
        <v>0</v>
      </c>
      <c r="AF112" s="78">
        <v>45047</v>
      </c>
      <c r="AG112" s="112"/>
      <c r="AH112" s="112"/>
      <c r="AI112" s="112"/>
      <c r="AJ112" s="112"/>
      <c r="AK112" s="112"/>
      <c r="AM112" s="116">
        <f t="shared" si="119"/>
        <v>0</v>
      </c>
      <c r="AN112" s="78">
        <v>45047</v>
      </c>
      <c r="AO112" s="112"/>
      <c r="AP112" s="112"/>
      <c r="AQ112" s="112"/>
      <c r="AR112" s="112"/>
      <c r="AS112" s="112"/>
      <c r="AU112" s="116">
        <f t="shared" si="120"/>
        <v>0</v>
      </c>
      <c r="AV112" s="78">
        <v>45047</v>
      </c>
      <c r="AW112" s="112"/>
      <c r="AX112" s="112"/>
      <c r="AY112" s="112"/>
      <c r="AZ112" s="112"/>
      <c r="BA112" s="112"/>
      <c r="BC112" s="116">
        <f t="shared" si="121"/>
        <v>0</v>
      </c>
      <c r="BD112" s="78">
        <v>45047</v>
      </c>
      <c r="BE112" s="112"/>
      <c r="BF112" s="112"/>
      <c r="BG112" s="112"/>
      <c r="BH112" s="112"/>
      <c r="BI112" s="112"/>
      <c r="BK112" s="116">
        <f t="shared" si="122"/>
        <v>0</v>
      </c>
      <c r="BL112" s="78">
        <v>45047</v>
      </c>
      <c r="BM112" s="112"/>
      <c r="BN112" s="112"/>
      <c r="BO112" s="112"/>
      <c r="BP112" s="112"/>
      <c r="BQ112" s="112"/>
      <c r="BS112" s="116">
        <f t="shared" si="123"/>
        <v>0</v>
      </c>
      <c r="BT112" s="78">
        <v>45047</v>
      </c>
      <c r="BU112" s="112"/>
      <c r="BV112" s="112"/>
      <c r="BW112" s="112"/>
      <c r="BX112" s="112"/>
      <c r="BY112" s="112"/>
      <c r="CA112" s="116">
        <f t="shared" si="124"/>
        <v>0</v>
      </c>
      <c r="CB112" s="78">
        <v>45047</v>
      </c>
      <c r="CC112" s="112"/>
      <c r="CD112" s="112"/>
      <c r="CE112" s="112"/>
      <c r="CF112" s="112"/>
      <c r="CG112" s="112"/>
      <c r="CI112" s="116">
        <f t="shared" si="125"/>
        <v>0</v>
      </c>
      <c r="CJ112" s="78">
        <v>45047</v>
      </c>
      <c r="CK112" s="112"/>
      <c r="CL112" s="112"/>
      <c r="CM112" s="112"/>
      <c r="CN112" s="112"/>
      <c r="CO112" s="112"/>
      <c r="CQ112" s="116">
        <f t="shared" si="126"/>
        <v>0</v>
      </c>
      <c r="CR112" s="78">
        <v>45047</v>
      </c>
      <c r="CS112" s="112"/>
      <c r="CT112" s="112"/>
      <c r="CU112" s="112"/>
      <c r="CV112" s="112"/>
      <c r="CW112" s="112"/>
    </row>
    <row r="113" spans="15:101">
      <c r="O113" s="116">
        <f t="shared" si="116"/>
        <v>0</v>
      </c>
      <c r="P113" s="78">
        <v>45078</v>
      </c>
      <c r="Q113" s="80"/>
      <c r="R113" s="80"/>
      <c r="S113" s="80"/>
      <c r="T113" s="80"/>
      <c r="U113" s="80"/>
      <c r="V113" s="86"/>
      <c r="W113" s="116">
        <f t="shared" si="117"/>
        <v>0</v>
      </c>
      <c r="X113" s="78">
        <v>45078</v>
      </c>
      <c r="Y113" s="112"/>
      <c r="Z113" s="112"/>
      <c r="AA113" s="112"/>
      <c r="AB113" s="112"/>
      <c r="AC113" s="112"/>
      <c r="AE113" s="116">
        <f t="shared" si="118"/>
        <v>0</v>
      </c>
      <c r="AF113" s="78">
        <v>45078</v>
      </c>
      <c r="AG113" s="112"/>
      <c r="AH113" s="112"/>
      <c r="AI113" s="112"/>
      <c r="AJ113" s="112"/>
      <c r="AK113" s="112"/>
      <c r="AM113" s="116">
        <f t="shared" si="119"/>
        <v>0</v>
      </c>
      <c r="AN113" s="78">
        <v>45078</v>
      </c>
      <c r="AO113" s="112"/>
      <c r="AP113" s="112"/>
      <c r="AQ113" s="112"/>
      <c r="AR113" s="112"/>
      <c r="AS113" s="112"/>
      <c r="AU113" s="116">
        <f t="shared" si="120"/>
        <v>0</v>
      </c>
      <c r="AV113" s="78">
        <v>45078</v>
      </c>
      <c r="AW113" s="112"/>
      <c r="AX113" s="112"/>
      <c r="AY113" s="112"/>
      <c r="AZ113" s="112"/>
      <c r="BA113" s="112"/>
      <c r="BC113" s="116">
        <f t="shared" si="121"/>
        <v>0</v>
      </c>
      <c r="BD113" s="78">
        <v>45078</v>
      </c>
      <c r="BE113" s="112"/>
      <c r="BF113" s="112"/>
      <c r="BG113" s="112"/>
      <c r="BH113" s="112"/>
      <c r="BI113" s="112"/>
      <c r="BK113" s="116">
        <f t="shared" si="122"/>
        <v>0</v>
      </c>
      <c r="BL113" s="78">
        <v>45078</v>
      </c>
      <c r="BM113" s="112"/>
      <c r="BN113" s="112"/>
      <c r="BO113" s="112"/>
      <c r="BP113" s="112"/>
      <c r="BQ113" s="112"/>
      <c r="BS113" s="116">
        <f t="shared" si="123"/>
        <v>0</v>
      </c>
      <c r="BT113" s="78">
        <v>45078</v>
      </c>
      <c r="BU113" s="112"/>
      <c r="BV113" s="112"/>
      <c r="BW113" s="112"/>
      <c r="BX113" s="112"/>
      <c r="BY113" s="112"/>
      <c r="CA113" s="116">
        <f t="shared" si="124"/>
        <v>0</v>
      </c>
      <c r="CB113" s="78">
        <v>45078</v>
      </c>
      <c r="CC113" s="112"/>
      <c r="CD113" s="112"/>
      <c r="CE113" s="112"/>
      <c r="CF113" s="112"/>
      <c r="CG113" s="112"/>
      <c r="CI113" s="116">
        <f t="shared" si="125"/>
        <v>0</v>
      </c>
      <c r="CJ113" s="78">
        <v>45078</v>
      </c>
      <c r="CK113" s="112"/>
      <c r="CL113" s="112"/>
      <c r="CM113" s="112"/>
      <c r="CN113" s="112"/>
      <c r="CO113" s="112"/>
      <c r="CQ113" s="116">
        <f t="shared" si="126"/>
        <v>0</v>
      </c>
      <c r="CR113" s="78">
        <v>45078</v>
      </c>
      <c r="CS113" s="112"/>
      <c r="CT113" s="112"/>
      <c r="CU113" s="112"/>
      <c r="CV113" s="112"/>
      <c r="CW113" s="112"/>
    </row>
    <row r="114" spans="15:101">
      <c r="O114" s="116">
        <f t="shared" si="116"/>
        <v>0</v>
      </c>
      <c r="P114" s="78">
        <v>45108</v>
      </c>
      <c r="Q114" s="80"/>
      <c r="R114" s="80"/>
      <c r="S114" s="80"/>
      <c r="T114" s="80"/>
      <c r="U114" s="80"/>
      <c r="V114" s="86"/>
      <c r="W114" s="116">
        <f t="shared" si="117"/>
        <v>0</v>
      </c>
      <c r="X114" s="78">
        <v>45108</v>
      </c>
      <c r="Y114" s="112"/>
      <c r="Z114" s="112"/>
      <c r="AA114" s="112"/>
      <c r="AB114" s="112"/>
      <c r="AC114" s="112"/>
      <c r="AE114" s="116">
        <f t="shared" si="118"/>
        <v>0</v>
      </c>
      <c r="AF114" s="78">
        <v>45108</v>
      </c>
      <c r="AG114" s="112"/>
      <c r="AH114" s="112"/>
      <c r="AI114" s="112"/>
      <c r="AJ114" s="112"/>
      <c r="AK114" s="112"/>
      <c r="AM114" s="116">
        <f t="shared" si="119"/>
        <v>0</v>
      </c>
      <c r="AN114" s="78">
        <v>45108</v>
      </c>
      <c r="AO114" s="112"/>
      <c r="AP114" s="112"/>
      <c r="AQ114" s="112"/>
      <c r="AR114" s="112"/>
      <c r="AS114" s="112"/>
      <c r="AU114" s="116">
        <f t="shared" si="120"/>
        <v>0</v>
      </c>
      <c r="AV114" s="78">
        <v>45108</v>
      </c>
      <c r="AW114" s="112"/>
      <c r="AX114" s="112"/>
      <c r="AY114" s="112"/>
      <c r="AZ114" s="112"/>
      <c r="BA114" s="112"/>
      <c r="BC114" s="116">
        <f t="shared" si="121"/>
        <v>0</v>
      </c>
      <c r="BD114" s="78">
        <v>45108</v>
      </c>
      <c r="BE114" s="112"/>
      <c r="BF114" s="112"/>
      <c r="BG114" s="112"/>
      <c r="BH114" s="112"/>
      <c r="BI114" s="112"/>
      <c r="BK114" s="116">
        <f t="shared" si="122"/>
        <v>0</v>
      </c>
      <c r="BL114" s="78">
        <v>45108</v>
      </c>
      <c r="BM114" s="112"/>
      <c r="BN114" s="112"/>
      <c r="BO114" s="112"/>
      <c r="BP114" s="112"/>
      <c r="BQ114" s="112"/>
      <c r="BS114" s="116">
        <f t="shared" si="123"/>
        <v>0</v>
      </c>
      <c r="BT114" s="78">
        <v>45108</v>
      </c>
      <c r="BU114" s="112"/>
      <c r="BV114" s="112"/>
      <c r="BW114" s="112"/>
      <c r="BX114" s="112"/>
      <c r="BY114" s="112"/>
      <c r="CA114" s="116">
        <f t="shared" si="124"/>
        <v>0</v>
      </c>
      <c r="CB114" s="78">
        <v>45108</v>
      </c>
      <c r="CC114" s="112"/>
      <c r="CD114" s="112"/>
      <c r="CE114" s="112"/>
      <c r="CF114" s="112"/>
      <c r="CG114" s="112"/>
      <c r="CI114" s="116">
        <f t="shared" si="125"/>
        <v>0</v>
      </c>
      <c r="CJ114" s="78">
        <v>45108</v>
      </c>
      <c r="CK114" s="112"/>
      <c r="CL114" s="112"/>
      <c r="CM114" s="112"/>
      <c r="CN114" s="112"/>
      <c r="CO114" s="112"/>
      <c r="CQ114" s="116">
        <f t="shared" si="126"/>
        <v>0</v>
      </c>
      <c r="CR114" s="78">
        <v>45108</v>
      </c>
      <c r="CS114" s="112"/>
      <c r="CT114" s="112"/>
      <c r="CU114" s="112"/>
      <c r="CV114" s="112"/>
      <c r="CW114" s="112"/>
    </row>
    <row r="115" spans="15:101">
      <c r="O115" s="116">
        <f t="shared" si="116"/>
        <v>0</v>
      </c>
      <c r="P115" s="78">
        <v>45139</v>
      </c>
      <c r="Q115" s="80"/>
      <c r="R115" s="80"/>
      <c r="S115" s="80"/>
      <c r="T115" s="80"/>
      <c r="U115" s="80"/>
      <c r="V115" s="86"/>
      <c r="W115" s="116">
        <f t="shared" si="117"/>
        <v>0</v>
      </c>
      <c r="X115" s="78">
        <v>45139</v>
      </c>
      <c r="Y115" s="112"/>
      <c r="Z115" s="112"/>
      <c r="AA115" s="112"/>
      <c r="AB115" s="112"/>
      <c r="AC115" s="112"/>
      <c r="AE115" s="116">
        <f t="shared" si="118"/>
        <v>0</v>
      </c>
      <c r="AF115" s="78">
        <v>45139</v>
      </c>
      <c r="AG115" s="112"/>
      <c r="AH115" s="112"/>
      <c r="AI115" s="112"/>
      <c r="AJ115" s="112"/>
      <c r="AK115" s="112"/>
      <c r="AM115" s="116">
        <f t="shared" si="119"/>
        <v>0</v>
      </c>
      <c r="AN115" s="78">
        <v>45139</v>
      </c>
      <c r="AO115" s="112"/>
      <c r="AP115" s="112"/>
      <c r="AQ115" s="112"/>
      <c r="AR115" s="112"/>
      <c r="AS115" s="112"/>
      <c r="AU115" s="116">
        <f t="shared" si="120"/>
        <v>0</v>
      </c>
      <c r="AV115" s="78">
        <v>45139</v>
      </c>
      <c r="AW115" s="112"/>
      <c r="AX115" s="112"/>
      <c r="AY115" s="112"/>
      <c r="AZ115" s="112"/>
      <c r="BA115" s="112"/>
      <c r="BC115" s="116">
        <f t="shared" si="121"/>
        <v>0</v>
      </c>
      <c r="BD115" s="78">
        <v>45139</v>
      </c>
      <c r="BE115" s="112"/>
      <c r="BF115" s="112"/>
      <c r="BG115" s="112"/>
      <c r="BH115" s="112"/>
      <c r="BI115" s="112"/>
      <c r="BK115" s="116">
        <f t="shared" si="122"/>
        <v>0</v>
      </c>
      <c r="BL115" s="78">
        <v>45139</v>
      </c>
      <c r="BM115" s="112"/>
      <c r="BN115" s="112"/>
      <c r="BO115" s="112"/>
      <c r="BP115" s="112"/>
      <c r="BQ115" s="112"/>
      <c r="BS115" s="116">
        <f t="shared" si="123"/>
        <v>0</v>
      </c>
      <c r="BT115" s="78">
        <v>45139</v>
      </c>
      <c r="BU115" s="112"/>
      <c r="BV115" s="112"/>
      <c r="BW115" s="112"/>
      <c r="BX115" s="112"/>
      <c r="BY115" s="112"/>
      <c r="CA115" s="116">
        <f t="shared" si="124"/>
        <v>0</v>
      </c>
      <c r="CB115" s="78">
        <v>45139</v>
      </c>
      <c r="CC115" s="112"/>
      <c r="CD115" s="112"/>
      <c r="CE115" s="112"/>
      <c r="CF115" s="112"/>
      <c r="CG115" s="112"/>
      <c r="CI115" s="116">
        <f t="shared" si="125"/>
        <v>0</v>
      </c>
      <c r="CJ115" s="78">
        <v>45139</v>
      </c>
      <c r="CK115" s="112"/>
      <c r="CL115" s="112"/>
      <c r="CM115" s="112"/>
      <c r="CN115" s="112"/>
      <c r="CO115" s="112"/>
      <c r="CQ115" s="116">
        <f t="shared" si="126"/>
        <v>0</v>
      </c>
      <c r="CR115" s="78">
        <v>45139</v>
      </c>
      <c r="CS115" s="112"/>
      <c r="CT115" s="112"/>
      <c r="CU115" s="112"/>
      <c r="CV115" s="112"/>
      <c r="CW115" s="112"/>
    </row>
    <row r="116" spans="15:101">
      <c r="O116" s="116">
        <f t="shared" si="116"/>
        <v>0</v>
      </c>
      <c r="P116" s="78">
        <v>45170</v>
      </c>
      <c r="Q116" s="80"/>
      <c r="R116" s="80"/>
      <c r="S116" s="80"/>
      <c r="T116" s="80"/>
      <c r="U116" s="80"/>
      <c r="V116" s="86"/>
      <c r="W116" s="116">
        <f t="shared" si="117"/>
        <v>0</v>
      </c>
      <c r="X116" s="78">
        <v>45170</v>
      </c>
      <c r="Y116" s="112"/>
      <c r="Z116" s="112"/>
      <c r="AA116" s="112"/>
      <c r="AB116" s="112"/>
      <c r="AC116" s="112"/>
      <c r="AE116" s="116">
        <f t="shared" si="118"/>
        <v>0</v>
      </c>
      <c r="AF116" s="78">
        <v>45170</v>
      </c>
      <c r="AG116" s="112"/>
      <c r="AH116" s="112"/>
      <c r="AI116" s="112"/>
      <c r="AJ116" s="112"/>
      <c r="AK116" s="112"/>
      <c r="AM116" s="116">
        <f t="shared" si="119"/>
        <v>0</v>
      </c>
      <c r="AN116" s="78">
        <v>45170</v>
      </c>
      <c r="AO116" s="112"/>
      <c r="AP116" s="112"/>
      <c r="AQ116" s="112"/>
      <c r="AR116" s="112"/>
      <c r="AS116" s="112"/>
      <c r="AU116" s="116">
        <f t="shared" si="120"/>
        <v>0</v>
      </c>
      <c r="AV116" s="78">
        <v>45170</v>
      </c>
      <c r="AW116" s="112"/>
      <c r="AX116" s="112"/>
      <c r="AY116" s="112"/>
      <c r="AZ116" s="112"/>
      <c r="BA116" s="112"/>
      <c r="BC116" s="116">
        <f t="shared" si="121"/>
        <v>0</v>
      </c>
      <c r="BD116" s="78">
        <v>45170</v>
      </c>
      <c r="BE116" s="112"/>
      <c r="BF116" s="112"/>
      <c r="BG116" s="112"/>
      <c r="BH116" s="112"/>
      <c r="BI116" s="112"/>
      <c r="BK116" s="116">
        <f t="shared" si="122"/>
        <v>0</v>
      </c>
      <c r="BL116" s="78">
        <v>45170</v>
      </c>
      <c r="BM116" s="112"/>
      <c r="BN116" s="112"/>
      <c r="BO116" s="112"/>
      <c r="BP116" s="112"/>
      <c r="BQ116" s="112"/>
      <c r="BS116" s="116">
        <f t="shared" si="123"/>
        <v>0</v>
      </c>
      <c r="BT116" s="78">
        <v>45170</v>
      </c>
      <c r="BU116" s="112"/>
      <c r="BV116" s="112"/>
      <c r="BW116" s="112"/>
      <c r="BX116" s="112"/>
      <c r="BY116" s="112"/>
      <c r="CA116" s="116">
        <f t="shared" si="124"/>
        <v>0</v>
      </c>
      <c r="CB116" s="78">
        <v>45170</v>
      </c>
      <c r="CC116" s="112"/>
      <c r="CD116" s="112"/>
      <c r="CE116" s="112"/>
      <c r="CF116" s="112"/>
      <c r="CG116" s="112"/>
      <c r="CI116" s="116">
        <f t="shared" si="125"/>
        <v>0</v>
      </c>
      <c r="CJ116" s="78">
        <v>45170</v>
      </c>
      <c r="CK116" s="112"/>
      <c r="CL116" s="112"/>
      <c r="CM116" s="112"/>
      <c r="CN116" s="112"/>
      <c r="CO116" s="112"/>
      <c r="CQ116" s="116">
        <f t="shared" si="126"/>
        <v>0</v>
      </c>
      <c r="CR116" s="78">
        <v>45170</v>
      </c>
      <c r="CS116" s="112"/>
      <c r="CT116" s="112"/>
      <c r="CU116" s="112"/>
      <c r="CV116" s="112"/>
      <c r="CW116" s="112"/>
    </row>
    <row r="117" spans="15:101">
      <c r="O117" s="116">
        <f t="shared" si="116"/>
        <v>0</v>
      </c>
      <c r="P117" s="78">
        <v>45200</v>
      </c>
      <c r="Q117" s="80"/>
      <c r="R117" s="80"/>
      <c r="S117" s="80"/>
      <c r="T117" s="80"/>
      <c r="U117" s="80"/>
      <c r="V117" s="86"/>
      <c r="W117" s="116">
        <f t="shared" si="117"/>
        <v>0</v>
      </c>
      <c r="X117" s="78">
        <v>45200</v>
      </c>
      <c r="Y117" s="112"/>
      <c r="Z117" s="112"/>
      <c r="AA117" s="112"/>
      <c r="AB117" s="112"/>
      <c r="AC117" s="112"/>
      <c r="AE117" s="116">
        <f t="shared" si="118"/>
        <v>0</v>
      </c>
      <c r="AF117" s="78">
        <v>45200</v>
      </c>
      <c r="AG117" s="112"/>
      <c r="AH117" s="112"/>
      <c r="AI117" s="112"/>
      <c r="AJ117" s="112"/>
      <c r="AK117" s="112"/>
      <c r="AM117" s="116">
        <f t="shared" si="119"/>
        <v>0</v>
      </c>
      <c r="AN117" s="78">
        <v>45200</v>
      </c>
      <c r="AO117" s="112"/>
      <c r="AP117" s="112"/>
      <c r="AQ117" s="112"/>
      <c r="AR117" s="112"/>
      <c r="AS117" s="112"/>
      <c r="AU117" s="116">
        <f t="shared" si="120"/>
        <v>0</v>
      </c>
      <c r="AV117" s="78">
        <v>45200</v>
      </c>
      <c r="AW117" s="112"/>
      <c r="AX117" s="112"/>
      <c r="AY117" s="112"/>
      <c r="AZ117" s="112"/>
      <c r="BA117" s="112"/>
      <c r="BC117" s="116">
        <f t="shared" si="121"/>
        <v>0</v>
      </c>
      <c r="BD117" s="78">
        <v>45200</v>
      </c>
      <c r="BE117" s="112"/>
      <c r="BF117" s="112"/>
      <c r="BG117" s="112"/>
      <c r="BH117" s="112"/>
      <c r="BI117" s="112"/>
      <c r="BK117" s="116">
        <f t="shared" si="122"/>
        <v>0</v>
      </c>
      <c r="BL117" s="78">
        <v>45200</v>
      </c>
      <c r="BM117" s="112"/>
      <c r="BN117" s="112"/>
      <c r="BO117" s="112"/>
      <c r="BP117" s="112"/>
      <c r="BQ117" s="112"/>
      <c r="BS117" s="116">
        <f t="shared" si="123"/>
        <v>0</v>
      </c>
      <c r="BT117" s="78">
        <v>45200</v>
      </c>
      <c r="BU117" s="112"/>
      <c r="BV117" s="112"/>
      <c r="BW117" s="112"/>
      <c r="BX117" s="112"/>
      <c r="BY117" s="112"/>
      <c r="CA117" s="116">
        <f t="shared" si="124"/>
        <v>0</v>
      </c>
      <c r="CB117" s="78">
        <v>45200</v>
      </c>
      <c r="CC117" s="112"/>
      <c r="CD117" s="112"/>
      <c r="CE117" s="112"/>
      <c r="CF117" s="112"/>
      <c r="CG117" s="112"/>
      <c r="CI117" s="116">
        <f t="shared" si="125"/>
        <v>0</v>
      </c>
      <c r="CJ117" s="78">
        <v>45200</v>
      </c>
      <c r="CK117" s="112"/>
      <c r="CL117" s="112"/>
      <c r="CM117" s="112"/>
      <c r="CN117" s="112"/>
      <c r="CO117" s="112"/>
      <c r="CQ117" s="116">
        <f t="shared" si="126"/>
        <v>0</v>
      </c>
      <c r="CR117" s="78">
        <v>45200</v>
      </c>
      <c r="CS117" s="112"/>
      <c r="CT117" s="112"/>
      <c r="CU117" s="112"/>
      <c r="CV117" s="112"/>
      <c r="CW117" s="112"/>
    </row>
    <row r="118" spans="15:101">
      <c r="O118" s="116">
        <f t="shared" si="116"/>
        <v>0</v>
      </c>
      <c r="P118" s="78">
        <v>45231</v>
      </c>
      <c r="Q118" s="80"/>
      <c r="R118" s="80"/>
      <c r="S118" s="80"/>
      <c r="T118" s="80"/>
      <c r="U118" s="80"/>
      <c r="V118" s="86"/>
      <c r="W118" s="116">
        <f t="shared" si="117"/>
        <v>0</v>
      </c>
      <c r="X118" s="78">
        <v>45231</v>
      </c>
      <c r="Y118" s="112"/>
      <c r="Z118" s="112"/>
      <c r="AA118" s="112"/>
      <c r="AB118" s="112"/>
      <c r="AC118" s="112"/>
      <c r="AE118" s="116">
        <f t="shared" si="118"/>
        <v>0</v>
      </c>
      <c r="AF118" s="78">
        <v>45231</v>
      </c>
      <c r="AG118" s="112"/>
      <c r="AH118" s="112"/>
      <c r="AI118" s="112"/>
      <c r="AJ118" s="112"/>
      <c r="AK118" s="112"/>
      <c r="AM118" s="116">
        <f t="shared" si="119"/>
        <v>0</v>
      </c>
      <c r="AN118" s="78">
        <v>45231</v>
      </c>
      <c r="AO118" s="112"/>
      <c r="AP118" s="112"/>
      <c r="AQ118" s="112"/>
      <c r="AR118" s="112"/>
      <c r="AS118" s="112"/>
      <c r="AU118" s="116">
        <f t="shared" si="120"/>
        <v>0</v>
      </c>
      <c r="AV118" s="78">
        <v>45231</v>
      </c>
      <c r="AW118" s="112"/>
      <c r="AX118" s="112"/>
      <c r="AY118" s="112"/>
      <c r="AZ118" s="112"/>
      <c r="BA118" s="112"/>
      <c r="BC118" s="116">
        <f t="shared" si="121"/>
        <v>0</v>
      </c>
      <c r="BD118" s="78">
        <v>45231</v>
      </c>
      <c r="BE118" s="112"/>
      <c r="BF118" s="112"/>
      <c r="BG118" s="112"/>
      <c r="BH118" s="112"/>
      <c r="BI118" s="112"/>
      <c r="BK118" s="116">
        <f t="shared" si="122"/>
        <v>0</v>
      </c>
      <c r="BL118" s="78">
        <v>45231</v>
      </c>
      <c r="BM118" s="112"/>
      <c r="BN118" s="112"/>
      <c r="BO118" s="112"/>
      <c r="BP118" s="112"/>
      <c r="BQ118" s="112"/>
      <c r="BS118" s="116">
        <f t="shared" si="123"/>
        <v>0</v>
      </c>
      <c r="BT118" s="78">
        <v>45231</v>
      </c>
      <c r="BU118" s="112"/>
      <c r="BV118" s="112"/>
      <c r="BW118" s="112"/>
      <c r="BX118" s="112"/>
      <c r="BY118" s="112"/>
      <c r="CA118" s="116">
        <f t="shared" si="124"/>
        <v>0</v>
      </c>
      <c r="CB118" s="78">
        <v>45231</v>
      </c>
      <c r="CC118" s="112"/>
      <c r="CD118" s="112"/>
      <c r="CE118" s="112"/>
      <c r="CF118" s="112"/>
      <c r="CG118" s="112"/>
      <c r="CI118" s="116">
        <f t="shared" si="125"/>
        <v>0</v>
      </c>
      <c r="CJ118" s="78">
        <v>45231</v>
      </c>
      <c r="CK118" s="112"/>
      <c r="CL118" s="112"/>
      <c r="CM118" s="112"/>
      <c r="CN118" s="112"/>
      <c r="CO118" s="112"/>
      <c r="CQ118" s="116">
        <f t="shared" si="126"/>
        <v>0</v>
      </c>
      <c r="CR118" s="78">
        <v>45231</v>
      </c>
      <c r="CS118" s="112"/>
      <c r="CT118" s="112"/>
      <c r="CU118" s="112"/>
      <c r="CV118" s="112"/>
      <c r="CW118" s="112"/>
    </row>
    <row r="119" spans="15:101">
      <c r="O119" s="116">
        <f t="shared" si="116"/>
        <v>0</v>
      </c>
      <c r="P119" s="83">
        <v>45261</v>
      </c>
      <c r="Q119" s="84"/>
      <c r="R119" s="84"/>
      <c r="S119" s="84"/>
      <c r="T119" s="84"/>
      <c r="U119" s="84"/>
      <c r="V119" s="86"/>
      <c r="W119" s="116">
        <f t="shared" si="117"/>
        <v>0</v>
      </c>
      <c r="X119" s="83">
        <v>45261</v>
      </c>
      <c r="Y119" s="113"/>
      <c r="Z119" s="113"/>
      <c r="AA119" s="113"/>
      <c r="AB119" s="113"/>
      <c r="AC119" s="113"/>
      <c r="AE119" s="116">
        <f t="shared" si="118"/>
        <v>0</v>
      </c>
      <c r="AF119" s="83">
        <v>45261</v>
      </c>
      <c r="AG119" s="113"/>
      <c r="AH119" s="113"/>
      <c r="AI119" s="113"/>
      <c r="AJ119" s="113"/>
      <c r="AK119" s="113"/>
      <c r="AM119" s="116">
        <f t="shared" si="119"/>
        <v>0</v>
      </c>
      <c r="AN119" s="83">
        <v>45261</v>
      </c>
      <c r="AO119" s="113"/>
      <c r="AP119" s="113"/>
      <c r="AQ119" s="113"/>
      <c r="AR119" s="113"/>
      <c r="AS119" s="113"/>
      <c r="AU119" s="116">
        <f t="shared" si="120"/>
        <v>0</v>
      </c>
      <c r="AV119" s="83">
        <v>45261</v>
      </c>
      <c r="AW119" s="113"/>
      <c r="AX119" s="113"/>
      <c r="AY119" s="113"/>
      <c r="AZ119" s="113"/>
      <c r="BA119" s="113"/>
      <c r="BC119" s="116">
        <f t="shared" si="121"/>
        <v>0</v>
      </c>
      <c r="BD119" s="83">
        <v>45261</v>
      </c>
      <c r="BE119" s="113"/>
      <c r="BF119" s="113"/>
      <c r="BG119" s="113"/>
      <c r="BH119" s="113"/>
      <c r="BI119" s="113"/>
      <c r="BK119" s="116">
        <f t="shared" si="122"/>
        <v>0</v>
      </c>
      <c r="BL119" s="83">
        <v>45261</v>
      </c>
      <c r="BM119" s="113"/>
      <c r="BN119" s="113"/>
      <c r="BO119" s="113"/>
      <c r="BP119" s="113"/>
      <c r="BQ119" s="113"/>
      <c r="BS119" s="116">
        <f t="shared" si="123"/>
        <v>0</v>
      </c>
      <c r="BT119" s="83">
        <v>45261</v>
      </c>
      <c r="BU119" s="113"/>
      <c r="BV119" s="113"/>
      <c r="BW119" s="113"/>
      <c r="BX119" s="113"/>
      <c r="BY119" s="113"/>
      <c r="CA119" s="116">
        <f t="shared" si="124"/>
        <v>0</v>
      </c>
      <c r="CB119" s="83">
        <v>45261</v>
      </c>
      <c r="CC119" s="113"/>
      <c r="CD119" s="113"/>
      <c r="CE119" s="113"/>
      <c r="CF119" s="113"/>
      <c r="CG119" s="113"/>
      <c r="CI119" s="116">
        <f t="shared" si="125"/>
        <v>0</v>
      </c>
      <c r="CJ119" s="83">
        <v>45261</v>
      </c>
      <c r="CK119" s="113"/>
      <c r="CL119" s="113"/>
      <c r="CM119" s="113"/>
      <c r="CN119" s="113"/>
      <c r="CO119" s="113"/>
      <c r="CQ119" s="116">
        <f t="shared" si="126"/>
        <v>0</v>
      </c>
      <c r="CR119" s="83">
        <v>45261</v>
      </c>
      <c r="CS119" s="113"/>
      <c r="CT119" s="113"/>
      <c r="CU119" s="113"/>
      <c r="CV119" s="113"/>
      <c r="CW119" s="113"/>
    </row>
    <row r="120" spans="15:101">
      <c r="O120" s="138" t="s">
        <v>20</v>
      </c>
      <c r="P120" s="87">
        <f>P107+1</f>
        <v>2023</v>
      </c>
      <c r="Q120" s="94">
        <f>SUM(Q108:Q119)</f>
        <v>0</v>
      </c>
      <c r="R120" s="94">
        <f>SUM(R108:R119)</f>
        <v>0</v>
      </c>
      <c r="S120" s="94">
        <f>SUM(S108:S119)</f>
        <v>0</v>
      </c>
      <c r="T120" s="94">
        <f>SUM(T108:T119)</f>
        <v>0</v>
      </c>
      <c r="U120" s="94">
        <f>U119</f>
        <v>0</v>
      </c>
      <c r="V120" s="101"/>
      <c r="W120" s="138" t="s">
        <v>20</v>
      </c>
      <c r="X120" s="87">
        <f>X107+1</f>
        <v>2023</v>
      </c>
      <c r="Y120" s="107">
        <f>SUM(Y108:Y119)</f>
        <v>0</v>
      </c>
      <c r="Z120" s="107">
        <f>SUM(Z108:Z119)</f>
        <v>0</v>
      </c>
      <c r="AA120" s="107">
        <f>SUM(AA108:AA119)</f>
        <v>0</v>
      </c>
      <c r="AB120" s="107">
        <f>SUM(AB108:AB119)</f>
        <v>0</v>
      </c>
      <c r="AC120" s="107">
        <f>AC119</f>
        <v>0</v>
      </c>
      <c r="AE120" s="138" t="s">
        <v>20</v>
      </c>
      <c r="AF120" s="87">
        <f>AF107+1</f>
        <v>2023</v>
      </c>
      <c r="AG120" s="107">
        <f>SUM(AG108:AG119)</f>
        <v>0</v>
      </c>
      <c r="AH120" s="107">
        <f>SUM(AH108:AH119)</f>
        <v>0</v>
      </c>
      <c r="AI120" s="107">
        <f>SUM(AI108:AI119)</f>
        <v>0</v>
      </c>
      <c r="AJ120" s="107">
        <f>SUM(AJ108:AJ119)</f>
        <v>0</v>
      </c>
      <c r="AK120" s="107">
        <f>AK119</f>
        <v>0</v>
      </c>
      <c r="AM120" s="138" t="s">
        <v>20</v>
      </c>
      <c r="AN120" s="87">
        <f>AN107+1</f>
        <v>2023</v>
      </c>
      <c r="AO120" s="107">
        <f>SUM(AO108:AO119)</f>
        <v>0</v>
      </c>
      <c r="AP120" s="107">
        <f>SUM(AP108:AP119)</f>
        <v>0</v>
      </c>
      <c r="AQ120" s="107">
        <f>SUM(AQ108:AQ119)</f>
        <v>0</v>
      </c>
      <c r="AR120" s="107">
        <f>SUM(AR108:AR119)</f>
        <v>0</v>
      </c>
      <c r="AS120" s="107">
        <f>AS119</f>
        <v>0</v>
      </c>
      <c r="AU120" s="138" t="s">
        <v>20</v>
      </c>
      <c r="AV120" s="87">
        <f>AV107+1</f>
        <v>2023</v>
      </c>
      <c r="AW120" s="107">
        <f>SUM(AW108:AW119)</f>
        <v>0</v>
      </c>
      <c r="AX120" s="107">
        <f>SUM(AX108:AX119)</f>
        <v>0</v>
      </c>
      <c r="AY120" s="107">
        <f>SUM(AY108:AY119)</f>
        <v>0</v>
      </c>
      <c r="AZ120" s="107">
        <f>SUM(AZ108:AZ119)</f>
        <v>0</v>
      </c>
      <c r="BA120" s="107">
        <f>BA119</f>
        <v>0</v>
      </c>
      <c r="BC120" s="138" t="s">
        <v>20</v>
      </c>
      <c r="BD120" s="87">
        <f>BD107+1</f>
        <v>2023</v>
      </c>
      <c r="BE120" s="107">
        <f>SUM(BE108:BE119)</f>
        <v>0</v>
      </c>
      <c r="BF120" s="107">
        <f>SUM(BF108:BF119)</f>
        <v>0</v>
      </c>
      <c r="BG120" s="107">
        <f>SUM(BG108:BG119)</f>
        <v>0</v>
      </c>
      <c r="BH120" s="107">
        <f>SUM(BH108:BH119)</f>
        <v>0</v>
      </c>
      <c r="BI120" s="107">
        <f>BI119</f>
        <v>0</v>
      </c>
      <c r="BK120" s="138" t="s">
        <v>20</v>
      </c>
      <c r="BL120" s="87">
        <f>BL107+1</f>
        <v>2023</v>
      </c>
      <c r="BM120" s="107">
        <f>SUM(BM108:BM119)</f>
        <v>0</v>
      </c>
      <c r="BN120" s="107">
        <f>SUM(BN108:BN119)</f>
        <v>0</v>
      </c>
      <c r="BO120" s="107">
        <f>SUM(BO108:BO119)</f>
        <v>0</v>
      </c>
      <c r="BP120" s="107">
        <f>SUM(BP108:BP119)</f>
        <v>0</v>
      </c>
      <c r="BQ120" s="107">
        <f>BQ119</f>
        <v>0</v>
      </c>
      <c r="BS120" s="138" t="s">
        <v>20</v>
      </c>
      <c r="BT120" s="87">
        <f>BT107+1</f>
        <v>2023</v>
      </c>
      <c r="BU120" s="107">
        <f>SUM(BU108:BU119)</f>
        <v>0</v>
      </c>
      <c r="BV120" s="107">
        <f>SUM(BV108:BV119)</f>
        <v>0</v>
      </c>
      <c r="BW120" s="107">
        <f>SUM(BW108:BW119)</f>
        <v>0</v>
      </c>
      <c r="BX120" s="107">
        <f>SUM(BX108:BX119)</f>
        <v>0</v>
      </c>
      <c r="BY120" s="107">
        <f>BY119</f>
        <v>0</v>
      </c>
      <c r="CA120" s="138" t="s">
        <v>20</v>
      </c>
      <c r="CB120" s="87">
        <f>CB107+1</f>
        <v>2023</v>
      </c>
      <c r="CC120" s="107">
        <f>SUM(CC108:CC119)</f>
        <v>0</v>
      </c>
      <c r="CD120" s="107">
        <f>SUM(CD108:CD119)</f>
        <v>0</v>
      </c>
      <c r="CE120" s="107">
        <f>SUM(CE108:CE119)</f>
        <v>0</v>
      </c>
      <c r="CF120" s="107">
        <f>SUM(CF108:CF119)</f>
        <v>0</v>
      </c>
      <c r="CG120" s="107">
        <f>CG119</f>
        <v>0</v>
      </c>
      <c r="CI120" s="138" t="s">
        <v>20</v>
      </c>
      <c r="CJ120" s="87">
        <f>CJ107+1</f>
        <v>2023</v>
      </c>
      <c r="CK120" s="107">
        <f>SUM(CK108:CK119)</f>
        <v>0</v>
      </c>
      <c r="CL120" s="107">
        <f>SUM(CL108:CL119)</f>
        <v>0</v>
      </c>
      <c r="CM120" s="107">
        <f>SUM(CM108:CM119)</f>
        <v>0</v>
      </c>
      <c r="CN120" s="107">
        <f>SUM(CN108:CN119)</f>
        <v>0</v>
      </c>
      <c r="CO120" s="107">
        <f>CO119</f>
        <v>0</v>
      </c>
      <c r="CQ120" s="138" t="s">
        <v>20</v>
      </c>
      <c r="CR120" s="87">
        <f>CR107+1</f>
        <v>2023</v>
      </c>
      <c r="CS120" s="107">
        <f>SUM(CS108:CS119)</f>
        <v>0</v>
      </c>
      <c r="CT120" s="107">
        <f>SUM(CT108:CT119)</f>
        <v>0</v>
      </c>
      <c r="CU120" s="107">
        <f>SUM(CU108:CU119)</f>
        <v>0</v>
      </c>
      <c r="CV120" s="107">
        <f>SUM(CV108:CV119)</f>
        <v>0</v>
      </c>
      <c r="CW120" s="107">
        <f>CW119</f>
        <v>0</v>
      </c>
    </row>
    <row r="121" spans="15:101">
      <c r="O121" s="116">
        <f>IF(AND(Q121&gt;0,O119&gt;=0),O119+1,0)</f>
        <v>0</v>
      </c>
      <c r="P121" s="77">
        <v>45292</v>
      </c>
      <c r="Q121" s="82"/>
      <c r="R121" s="82"/>
      <c r="S121" s="82"/>
      <c r="T121" s="82"/>
      <c r="U121" s="82"/>
      <c r="V121" s="86"/>
      <c r="W121" s="116">
        <f>IF(AND(Y121&gt;0,W119&gt;=0),W119+1,0)</f>
        <v>0</v>
      </c>
      <c r="X121" s="77">
        <v>45292</v>
      </c>
      <c r="Y121" s="114"/>
      <c r="Z121" s="114"/>
      <c r="AA121" s="114"/>
      <c r="AB121" s="114"/>
      <c r="AC121" s="114"/>
      <c r="AE121" s="116">
        <f>IF(AND(AG121&gt;0,AE119&gt;=0),AE119+1,0)</f>
        <v>0</v>
      </c>
      <c r="AF121" s="77">
        <v>45292</v>
      </c>
      <c r="AG121" s="114"/>
      <c r="AH121" s="114"/>
      <c r="AI121" s="114"/>
      <c r="AJ121" s="114"/>
      <c r="AK121" s="114"/>
      <c r="AM121" s="116">
        <f>IF(AND(AO121&gt;0,AM119&gt;=0),AM119+1,0)</f>
        <v>0</v>
      </c>
      <c r="AN121" s="77">
        <v>45292</v>
      </c>
      <c r="AO121" s="114"/>
      <c r="AP121" s="114"/>
      <c r="AQ121" s="114"/>
      <c r="AR121" s="114"/>
      <c r="AS121" s="114"/>
      <c r="AU121" s="116">
        <f>IF(AND(AW121&gt;0,AU119&gt;=0),AU119+1,0)</f>
        <v>0</v>
      </c>
      <c r="AV121" s="77">
        <v>45292</v>
      </c>
      <c r="AW121" s="114"/>
      <c r="AX121" s="114"/>
      <c r="AY121" s="114"/>
      <c r="AZ121" s="114"/>
      <c r="BA121" s="114"/>
      <c r="BC121" s="116">
        <f>IF(AND(BE121&gt;0,BC119&gt;=0),BC119+1,0)</f>
        <v>0</v>
      </c>
      <c r="BD121" s="77">
        <v>45292</v>
      </c>
      <c r="BE121" s="114"/>
      <c r="BF121" s="114"/>
      <c r="BG121" s="114"/>
      <c r="BH121" s="114"/>
      <c r="BI121" s="114"/>
      <c r="BK121" s="116">
        <f>IF(AND(BM121&gt;0,BK119&gt;=0),BK119+1,0)</f>
        <v>0</v>
      </c>
      <c r="BL121" s="77">
        <v>45292</v>
      </c>
      <c r="BM121" s="114"/>
      <c r="BN121" s="114"/>
      <c r="BO121" s="114"/>
      <c r="BP121" s="114"/>
      <c r="BQ121" s="114"/>
      <c r="BS121" s="116">
        <f>IF(AND(BU121&gt;0,BS119&gt;=0),BS119+1,0)</f>
        <v>0</v>
      </c>
      <c r="BT121" s="77">
        <v>45292</v>
      </c>
      <c r="BU121" s="114"/>
      <c r="BV121" s="114"/>
      <c r="BW121" s="114"/>
      <c r="BX121" s="114"/>
      <c r="BY121" s="114"/>
      <c r="CA121" s="116">
        <f>IF(AND(CC121&gt;0,CA119&gt;=0),CA119+1,0)</f>
        <v>0</v>
      </c>
      <c r="CB121" s="77">
        <v>45292</v>
      </c>
      <c r="CC121" s="114"/>
      <c r="CD121" s="114"/>
      <c r="CE121" s="114"/>
      <c r="CF121" s="114"/>
      <c r="CG121" s="114"/>
      <c r="CI121" s="116">
        <f>IF(AND(CK121&gt;0,CI119&gt;=0),CI119+1,0)</f>
        <v>0</v>
      </c>
      <c r="CJ121" s="77">
        <v>45292</v>
      </c>
      <c r="CK121" s="114"/>
      <c r="CL121" s="114"/>
      <c r="CM121" s="114"/>
      <c r="CN121" s="114"/>
      <c r="CO121" s="114"/>
      <c r="CQ121" s="116">
        <f>IF(AND(CS121&gt;0,CQ119&gt;=0),CQ119+1,0)</f>
        <v>0</v>
      </c>
      <c r="CR121" s="77">
        <v>45292</v>
      </c>
      <c r="CS121" s="114"/>
      <c r="CT121" s="114"/>
      <c r="CU121" s="114"/>
      <c r="CV121" s="114"/>
      <c r="CW121" s="114"/>
    </row>
    <row r="122" spans="15:101">
      <c r="O122" s="116">
        <f t="shared" ref="O122:O132" si="127">IF(AND(Q122&gt;0,O121&gt;=0),O121+1,0)</f>
        <v>0</v>
      </c>
      <c r="P122" s="78">
        <v>45323</v>
      </c>
      <c r="Q122" s="80"/>
      <c r="R122" s="80"/>
      <c r="S122" s="80"/>
      <c r="T122" s="80"/>
      <c r="U122" s="80"/>
      <c r="V122" s="86"/>
      <c r="W122" s="116">
        <f t="shared" ref="W122:W132" si="128">IF(AND(Y122&gt;0,W121&gt;=0),W121+1,0)</f>
        <v>0</v>
      </c>
      <c r="X122" s="78">
        <v>45323</v>
      </c>
      <c r="Y122" s="112"/>
      <c r="Z122" s="112"/>
      <c r="AA122" s="112"/>
      <c r="AB122" s="112"/>
      <c r="AC122" s="112"/>
      <c r="AE122" s="116">
        <f t="shared" ref="AE122:AE132" si="129">IF(AND(AG122&gt;0,AE121&gt;=0),AE121+1,0)</f>
        <v>0</v>
      </c>
      <c r="AF122" s="78">
        <v>45323</v>
      </c>
      <c r="AG122" s="112"/>
      <c r="AH122" s="112"/>
      <c r="AI122" s="112"/>
      <c r="AJ122" s="112"/>
      <c r="AK122" s="112"/>
      <c r="AM122" s="116">
        <f t="shared" ref="AM122:AM132" si="130">IF(AND(AO122&gt;0,AM121&gt;=0),AM121+1,0)</f>
        <v>0</v>
      </c>
      <c r="AN122" s="78">
        <v>45323</v>
      </c>
      <c r="AO122" s="112"/>
      <c r="AP122" s="112"/>
      <c r="AQ122" s="112"/>
      <c r="AR122" s="112"/>
      <c r="AS122" s="112"/>
      <c r="AU122" s="116">
        <f t="shared" ref="AU122:AU132" si="131">IF(AND(AW122&gt;0,AU121&gt;=0),AU121+1,0)</f>
        <v>0</v>
      </c>
      <c r="AV122" s="78">
        <v>45323</v>
      </c>
      <c r="AW122" s="112"/>
      <c r="AX122" s="112"/>
      <c r="AY122" s="112"/>
      <c r="AZ122" s="112"/>
      <c r="BA122" s="112"/>
      <c r="BC122" s="116">
        <f t="shared" ref="BC122:BC132" si="132">IF(AND(BE122&gt;0,BC121&gt;=0),BC121+1,0)</f>
        <v>0</v>
      </c>
      <c r="BD122" s="78">
        <v>45323</v>
      </c>
      <c r="BE122" s="112"/>
      <c r="BF122" s="112"/>
      <c r="BG122" s="112"/>
      <c r="BH122" s="112"/>
      <c r="BI122" s="112"/>
      <c r="BK122" s="116">
        <f t="shared" ref="BK122:BK132" si="133">IF(AND(BM122&gt;0,BK121&gt;=0),BK121+1,0)</f>
        <v>0</v>
      </c>
      <c r="BL122" s="78">
        <v>45323</v>
      </c>
      <c r="BM122" s="112"/>
      <c r="BN122" s="112"/>
      <c r="BO122" s="112"/>
      <c r="BP122" s="112"/>
      <c r="BQ122" s="112"/>
      <c r="BS122" s="116">
        <f t="shared" ref="BS122:BS132" si="134">IF(AND(BU122&gt;0,BS121&gt;=0),BS121+1,0)</f>
        <v>0</v>
      </c>
      <c r="BT122" s="78">
        <v>45323</v>
      </c>
      <c r="BU122" s="112"/>
      <c r="BV122" s="112"/>
      <c r="BW122" s="112"/>
      <c r="BX122" s="112"/>
      <c r="BY122" s="112"/>
      <c r="CA122" s="116">
        <f t="shared" ref="CA122:CA132" si="135">IF(AND(CC122&gt;0,CA121&gt;=0),CA121+1,0)</f>
        <v>0</v>
      </c>
      <c r="CB122" s="78">
        <v>45323</v>
      </c>
      <c r="CC122" s="112"/>
      <c r="CD122" s="112"/>
      <c r="CE122" s="112"/>
      <c r="CF122" s="112"/>
      <c r="CG122" s="112"/>
      <c r="CI122" s="116">
        <f t="shared" ref="CI122:CI132" si="136">IF(AND(CK122&gt;0,CI121&gt;=0),CI121+1,0)</f>
        <v>0</v>
      </c>
      <c r="CJ122" s="78">
        <v>45323</v>
      </c>
      <c r="CK122" s="112"/>
      <c r="CL122" s="112"/>
      <c r="CM122" s="112"/>
      <c r="CN122" s="112"/>
      <c r="CO122" s="112"/>
      <c r="CQ122" s="116">
        <f t="shared" ref="CQ122:CQ132" si="137">IF(AND(CS122&gt;0,CQ121&gt;=0),CQ121+1,0)</f>
        <v>0</v>
      </c>
      <c r="CR122" s="78">
        <v>45323</v>
      </c>
      <c r="CS122" s="112"/>
      <c r="CT122" s="112"/>
      <c r="CU122" s="112"/>
      <c r="CV122" s="112"/>
      <c r="CW122" s="112"/>
    </row>
    <row r="123" spans="15:101">
      <c r="O123" s="116">
        <f t="shared" si="127"/>
        <v>0</v>
      </c>
      <c r="P123" s="78">
        <v>45352</v>
      </c>
      <c r="Q123" s="80"/>
      <c r="R123" s="80"/>
      <c r="S123" s="80"/>
      <c r="T123" s="80"/>
      <c r="U123" s="80"/>
      <c r="V123" s="86"/>
      <c r="W123" s="116">
        <f t="shared" si="128"/>
        <v>0</v>
      </c>
      <c r="X123" s="78">
        <v>45352</v>
      </c>
      <c r="Y123" s="112"/>
      <c r="Z123" s="112"/>
      <c r="AA123" s="112"/>
      <c r="AB123" s="112"/>
      <c r="AC123" s="112"/>
      <c r="AE123" s="116">
        <f t="shared" si="129"/>
        <v>0</v>
      </c>
      <c r="AF123" s="78">
        <v>45352</v>
      </c>
      <c r="AG123" s="112"/>
      <c r="AH123" s="112"/>
      <c r="AI123" s="112"/>
      <c r="AJ123" s="112"/>
      <c r="AK123" s="112"/>
      <c r="AM123" s="116">
        <f t="shared" si="130"/>
        <v>0</v>
      </c>
      <c r="AN123" s="78">
        <v>45352</v>
      </c>
      <c r="AO123" s="112"/>
      <c r="AP123" s="112"/>
      <c r="AQ123" s="112"/>
      <c r="AR123" s="112"/>
      <c r="AS123" s="112"/>
      <c r="AU123" s="116">
        <f t="shared" si="131"/>
        <v>0</v>
      </c>
      <c r="AV123" s="78">
        <v>45352</v>
      </c>
      <c r="AW123" s="112"/>
      <c r="AX123" s="112"/>
      <c r="AY123" s="112"/>
      <c r="AZ123" s="112"/>
      <c r="BA123" s="112"/>
      <c r="BC123" s="116">
        <f t="shared" si="132"/>
        <v>0</v>
      </c>
      <c r="BD123" s="78">
        <v>45352</v>
      </c>
      <c r="BE123" s="112"/>
      <c r="BF123" s="112"/>
      <c r="BG123" s="112"/>
      <c r="BH123" s="112"/>
      <c r="BI123" s="112"/>
      <c r="BK123" s="116">
        <f t="shared" si="133"/>
        <v>0</v>
      </c>
      <c r="BL123" s="78">
        <v>45352</v>
      </c>
      <c r="BM123" s="112"/>
      <c r="BN123" s="112"/>
      <c r="BO123" s="112"/>
      <c r="BP123" s="112"/>
      <c r="BQ123" s="112"/>
      <c r="BS123" s="116">
        <f t="shared" si="134"/>
        <v>0</v>
      </c>
      <c r="BT123" s="78">
        <v>45352</v>
      </c>
      <c r="BU123" s="112"/>
      <c r="BV123" s="112"/>
      <c r="BW123" s="112"/>
      <c r="BX123" s="112"/>
      <c r="BY123" s="112"/>
      <c r="CA123" s="116">
        <f t="shared" si="135"/>
        <v>0</v>
      </c>
      <c r="CB123" s="78">
        <v>45352</v>
      </c>
      <c r="CC123" s="112"/>
      <c r="CD123" s="112"/>
      <c r="CE123" s="112"/>
      <c r="CF123" s="112"/>
      <c r="CG123" s="112"/>
      <c r="CI123" s="116">
        <f t="shared" si="136"/>
        <v>0</v>
      </c>
      <c r="CJ123" s="78">
        <v>45352</v>
      </c>
      <c r="CK123" s="112"/>
      <c r="CL123" s="112"/>
      <c r="CM123" s="112"/>
      <c r="CN123" s="112"/>
      <c r="CO123" s="112"/>
      <c r="CQ123" s="116">
        <f t="shared" si="137"/>
        <v>0</v>
      </c>
      <c r="CR123" s="78">
        <v>45352</v>
      </c>
      <c r="CS123" s="112"/>
      <c r="CT123" s="112"/>
      <c r="CU123" s="112"/>
      <c r="CV123" s="112"/>
      <c r="CW123" s="112"/>
    </row>
    <row r="124" spans="15:101">
      <c r="O124" s="116">
        <f t="shared" si="127"/>
        <v>0</v>
      </c>
      <c r="P124" s="78">
        <v>45383</v>
      </c>
      <c r="Q124" s="80"/>
      <c r="R124" s="80"/>
      <c r="S124" s="80"/>
      <c r="T124" s="80"/>
      <c r="U124" s="80"/>
      <c r="V124" s="86"/>
      <c r="W124" s="116">
        <f t="shared" si="128"/>
        <v>0</v>
      </c>
      <c r="X124" s="78">
        <v>45383</v>
      </c>
      <c r="Y124" s="112"/>
      <c r="Z124" s="112"/>
      <c r="AA124" s="112"/>
      <c r="AB124" s="112"/>
      <c r="AC124" s="112"/>
      <c r="AE124" s="116">
        <f t="shared" si="129"/>
        <v>0</v>
      </c>
      <c r="AF124" s="78">
        <v>45383</v>
      </c>
      <c r="AG124" s="112"/>
      <c r="AH124" s="112"/>
      <c r="AI124" s="112"/>
      <c r="AJ124" s="112"/>
      <c r="AK124" s="112"/>
      <c r="AM124" s="116">
        <f t="shared" si="130"/>
        <v>0</v>
      </c>
      <c r="AN124" s="78">
        <v>45383</v>
      </c>
      <c r="AO124" s="112"/>
      <c r="AP124" s="112"/>
      <c r="AQ124" s="112"/>
      <c r="AR124" s="112"/>
      <c r="AS124" s="112"/>
      <c r="AU124" s="116">
        <f t="shared" si="131"/>
        <v>0</v>
      </c>
      <c r="AV124" s="78">
        <v>45383</v>
      </c>
      <c r="AW124" s="112"/>
      <c r="AX124" s="112"/>
      <c r="AY124" s="112"/>
      <c r="AZ124" s="112"/>
      <c r="BA124" s="112"/>
      <c r="BC124" s="116">
        <f t="shared" si="132"/>
        <v>0</v>
      </c>
      <c r="BD124" s="78">
        <v>45383</v>
      </c>
      <c r="BE124" s="112"/>
      <c r="BF124" s="112"/>
      <c r="BG124" s="112"/>
      <c r="BH124" s="112"/>
      <c r="BI124" s="112"/>
      <c r="BK124" s="116">
        <f t="shared" si="133"/>
        <v>0</v>
      </c>
      <c r="BL124" s="78">
        <v>45383</v>
      </c>
      <c r="BM124" s="112"/>
      <c r="BN124" s="112"/>
      <c r="BO124" s="112"/>
      <c r="BP124" s="112"/>
      <c r="BQ124" s="112"/>
      <c r="BS124" s="116">
        <f t="shared" si="134"/>
        <v>0</v>
      </c>
      <c r="BT124" s="78">
        <v>45383</v>
      </c>
      <c r="BU124" s="112"/>
      <c r="BV124" s="112"/>
      <c r="BW124" s="112"/>
      <c r="BX124" s="112"/>
      <c r="BY124" s="112"/>
      <c r="CA124" s="116">
        <f t="shared" si="135"/>
        <v>0</v>
      </c>
      <c r="CB124" s="78">
        <v>45383</v>
      </c>
      <c r="CC124" s="112"/>
      <c r="CD124" s="112"/>
      <c r="CE124" s="112"/>
      <c r="CF124" s="112"/>
      <c r="CG124" s="112"/>
      <c r="CI124" s="116">
        <f t="shared" si="136"/>
        <v>0</v>
      </c>
      <c r="CJ124" s="78">
        <v>45383</v>
      </c>
      <c r="CK124" s="112"/>
      <c r="CL124" s="112"/>
      <c r="CM124" s="112"/>
      <c r="CN124" s="112"/>
      <c r="CO124" s="112"/>
      <c r="CQ124" s="116">
        <f t="shared" si="137"/>
        <v>0</v>
      </c>
      <c r="CR124" s="78">
        <v>45383</v>
      </c>
      <c r="CS124" s="112"/>
      <c r="CT124" s="112"/>
      <c r="CU124" s="112"/>
      <c r="CV124" s="112"/>
      <c r="CW124" s="112"/>
    </row>
    <row r="125" spans="15:101">
      <c r="O125" s="116">
        <f t="shared" si="127"/>
        <v>0</v>
      </c>
      <c r="P125" s="78">
        <v>45413</v>
      </c>
      <c r="Q125" s="80"/>
      <c r="R125" s="80"/>
      <c r="S125" s="80"/>
      <c r="T125" s="80"/>
      <c r="U125" s="80"/>
      <c r="V125" s="86"/>
      <c r="W125" s="116">
        <f t="shared" si="128"/>
        <v>0</v>
      </c>
      <c r="X125" s="78">
        <v>45413</v>
      </c>
      <c r="Y125" s="112"/>
      <c r="Z125" s="112"/>
      <c r="AA125" s="112"/>
      <c r="AB125" s="112"/>
      <c r="AC125" s="112"/>
      <c r="AE125" s="116">
        <f t="shared" si="129"/>
        <v>0</v>
      </c>
      <c r="AF125" s="78">
        <v>45413</v>
      </c>
      <c r="AG125" s="112"/>
      <c r="AH125" s="112"/>
      <c r="AI125" s="112"/>
      <c r="AJ125" s="112"/>
      <c r="AK125" s="112"/>
      <c r="AM125" s="116">
        <f t="shared" si="130"/>
        <v>0</v>
      </c>
      <c r="AN125" s="78">
        <v>45413</v>
      </c>
      <c r="AO125" s="112"/>
      <c r="AP125" s="112"/>
      <c r="AQ125" s="112"/>
      <c r="AR125" s="112"/>
      <c r="AS125" s="112"/>
      <c r="AU125" s="116">
        <f t="shared" si="131"/>
        <v>0</v>
      </c>
      <c r="AV125" s="78">
        <v>45413</v>
      </c>
      <c r="AW125" s="112"/>
      <c r="AX125" s="112"/>
      <c r="AY125" s="112"/>
      <c r="AZ125" s="112"/>
      <c r="BA125" s="112"/>
      <c r="BC125" s="116">
        <f t="shared" si="132"/>
        <v>0</v>
      </c>
      <c r="BD125" s="78">
        <v>45413</v>
      </c>
      <c r="BE125" s="112"/>
      <c r="BF125" s="112"/>
      <c r="BG125" s="112"/>
      <c r="BH125" s="112"/>
      <c r="BI125" s="112"/>
      <c r="BK125" s="116">
        <f t="shared" si="133"/>
        <v>0</v>
      </c>
      <c r="BL125" s="78">
        <v>45413</v>
      </c>
      <c r="BM125" s="112"/>
      <c r="BN125" s="112"/>
      <c r="BO125" s="112"/>
      <c r="BP125" s="112"/>
      <c r="BQ125" s="112"/>
      <c r="BS125" s="116">
        <f t="shared" si="134"/>
        <v>0</v>
      </c>
      <c r="BT125" s="78">
        <v>45413</v>
      </c>
      <c r="BU125" s="112"/>
      <c r="BV125" s="112"/>
      <c r="BW125" s="112"/>
      <c r="BX125" s="112"/>
      <c r="BY125" s="112"/>
      <c r="CA125" s="116">
        <f t="shared" si="135"/>
        <v>0</v>
      </c>
      <c r="CB125" s="78">
        <v>45413</v>
      </c>
      <c r="CC125" s="112"/>
      <c r="CD125" s="112"/>
      <c r="CE125" s="112"/>
      <c r="CF125" s="112"/>
      <c r="CG125" s="112"/>
      <c r="CI125" s="116">
        <f t="shared" si="136"/>
        <v>0</v>
      </c>
      <c r="CJ125" s="78">
        <v>45413</v>
      </c>
      <c r="CK125" s="112"/>
      <c r="CL125" s="112"/>
      <c r="CM125" s="112"/>
      <c r="CN125" s="112"/>
      <c r="CO125" s="112"/>
      <c r="CQ125" s="116">
        <f t="shared" si="137"/>
        <v>0</v>
      </c>
      <c r="CR125" s="78">
        <v>45413</v>
      </c>
      <c r="CS125" s="112"/>
      <c r="CT125" s="112"/>
      <c r="CU125" s="112"/>
      <c r="CV125" s="112"/>
      <c r="CW125" s="112"/>
    </row>
    <row r="126" spans="15:101">
      <c r="O126" s="116">
        <f t="shared" si="127"/>
        <v>0</v>
      </c>
      <c r="P126" s="78">
        <v>45444</v>
      </c>
      <c r="Q126" s="80"/>
      <c r="R126" s="80"/>
      <c r="S126" s="80"/>
      <c r="T126" s="80"/>
      <c r="U126" s="80"/>
      <c r="V126" s="86"/>
      <c r="W126" s="116">
        <f t="shared" si="128"/>
        <v>0</v>
      </c>
      <c r="X126" s="78">
        <v>45444</v>
      </c>
      <c r="Y126" s="112"/>
      <c r="Z126" s="112"/>
      <c r="AA126" s="112"/>
      <c r="AB126" s="112"/>
      <c r="AC126" s="112"/>
      <c r="AE126" s="116">
        <f t="shared" si="129"/>
        <v>0</v>
      </c>
      <c r="AF126" s="78">
        <v>45444</v>
      </c>
      <c r="AG126" s="112"/>
      <c r="AH126" s="112"/>
      <c r="AI126" s="112"/>
      <c r="AJ126" s="112"/>
      <c r="AK126" s="112"/>
      <c r="AM126" s="116">
        <f t="shared" si="130"/>
        <v>0</v>
      </c>
      <c r="AN126" s="78">
        <v>45444</v>
      </c>
      <c r="AO126" s="112"/>
      <c r="AP126" s="112"/>
      <c r="AQ126" s="112"/>
      <c r="AR126" s="112"/>
      <c r="AS126" s="112"/>
      <c r="AU126" s="116">
        <f t="shared" si="131"/>
        <v>0</v>
      </c>
      <c r="AV126" s="78">
        <v>45444</v>
      </c>
      <c r="AW126" s="112"/>
      <c r="AX126" s="112"/>
      <c r="AY126" s="112"/>
      <c r="AZ126" s="112"/>
      <c r="BA126" s="112"/>
      <c r="BC126" s="116">
        <f t="shared" si="132"/>
        <v>0</v>
      </c>
      <c r="BD126" s="78">
        <v>45444</v>
      </c>
      <c r="BE126" s="112"/>
      <c r="BF126" s="112"/>
      <c r="BG126" s="112"/>
      <c r="BH126" s="112"/>
      <c r="BI126" s="112"/>
      <c r="BK126" s="116">
        <f t="shared" si="133"/>
        <v>0</v>
      </c>
      <c r="BL126" s="78">
        <v>45444</v>
      </c>
      <c r="BM126" s="112"/>
      <c r="BN126" s="112"/>
      <c r="BO126" s="112"/>
      <c r="BP126" s="112"/>
      <c r="BQ126" s="112"/>
      <c r="BS126" s="116">
        <f t="shared" si="134"/>
        <v>0</v>
      </c>
      <c r="BT126" s="78">
        <v>45444</v>
      </c>
      <c r="BU126" s="112"/>
      <c r="BV126" s="112"/>
      <c r="BW126" s="112"/>
      <c r="BX126" s="112"/>
      <c r="BY126" s="112"/>
      <c r="CA126" s="116">
        <f t="shared" si="135"/>
        <v>0</v>
      </c>
      <c r="CB126" s="78">
        <v>45444</v>
      </c>
      <c r="CC126" s="112"/>
      <c r="CD126" s="112"/>
      <c r="CE126" s="112"/>
      <c r="CF126" s="112"/>
      <c r="CG126" s="112"/>
      <c r="CI126" s="116">
        <f t="shared" si="136"/>
        <v>0</v>
      </c>
      <c r="CJ126" s="78">
        <v>45444</v>
      </c>
      <c r="CK126" s="112"/>
      <c r="CL126" s="112"/>
      <c r="CM126" s="112"/>
      <c r="CN126" s="112"/>
      <c r="CO126" s="112"/>
      <c r="CQ126" s="116">
        <f t="shared" si="137"/>
        <v>0</v>
      </c>
      <c r="CR126" s="78">
        <v>45444</v>
      </c>
      <c r="CS126" s="112"/>
      <c r="CT126" s="112"/>
      <c r="CU126" s="112"/>
      <c r="CV126" s="112"/>
      <c r="CW126" s="112"/>
    </row>
    <row r="127" spans="15:101">
      <c r="O127" s="116">
        <f t="shared" si="127"/>
        <v>0</v>
      </c>
      <c r="P127" s="78">
        <v>45474</v>
      </c>
      <c r="Q127" s="80"/>
      <c r="R127" s="80"/>
      <c r="S127" s="80"/>
      <c r="T127" s="80"/>
      <c r="U127" s="80"/>
      <c r="V127" s="86"/>
      <c r="W127" s="116">
        <f t="shared" si="128"/>
        <v>0</v>
      </c>
      <c r="X127" s="78">
        <v>45474</v>
      </c>
      <c r="Y127" s="112"/>
      <c r="Z127" s="112"/>
      <c r="AA127" s="112"/>
      <c r="AB127" s="112"/>
      <c r="AC127" s="112"/>
      <c r="AE127" s="116">
        <f t="shared" si="129"/>
        <v>0</v>
      </c>
      <c r="AF127" s="78">
        <v>45474</v>
      </c>
      <c r="AG127" s="112"/>
      <c r="AH127" s="112"/>
      <c r="AI127" s="112"/>
      <c r="AJ127" s="112"/>
      <c r="AK127" s="112"/>
      <c r="AM127" s="116">
        <f t="shared" si="130"/>
        <v>0</v>
      </c>
      <c r="AN127" s="78">
        <v>45474</v>
      </c>
      <c r="AO127" s="112"/>
      <c r="AP127" s="112"/>
      <c r="AQ127" s="112"/>
      <c r="AR127" s="112"/>
      <c r="AS127" s="112"/>
      <c r="AU127" s="116">
        <f t="shared" si="131"/>
        <v>0</v>
      </c>
      <c r="AV127" s="78">
        <v>45474</v>
      </c>
      <c r="AW127" s="112"/>
      <c r="AX127" s="112"/>
      <c r="AY127" s="112"/>
      <c r="AZ127" s="112"/>
      <c r="BA127" s="112"/>
      <c r="BC127" s="116">
        <f t="shared" si="132"/>
        <v>0</v>
      </c>
      <c r="BD127" s="78">
        <v>45474</v>
      </c>
      <c r="BE127" s="112"/>
      <c r="BF127" s="112"/>
      <c r="BG127" s="112"/>
      <c r="BH127" s="112"/>
      <c r="BI127" s="112"/>
      <c r="BK127" s="116">
        <f t="shared" si="133"/>
        <v>0</v>
      </c>
      <c r="BL127" s="78">
        <v>45474</v>
      </c>
      <c r="BM127" s="112"/>
      <c r="BN127" s="112"/>
      <c r="BO127" s="112"/>
      <c r="BP127" s="112"/>
      <c r="BQ127" s="112"/>
      <c r="BS127" s="116">
        <f t="shared" si="134"/>
        <v>0</v>
      </c>
      <c r="BT127" s="78">
        <v>45474</v>
      </c>
      <c r="BU127" s="112"/>
      <c r="BV127" s="112"/>
      <c r="BW127" s="112"/>
      <c r="BX127" s="112"/>
      <c r="BY127" s="112"/>
      <c r="CA127" s="116">
        <f t="shared" si="135"/>
        <v>0</v>
      </c>
      <c r="CB127" s="78">
        <v>45474</v>
      </c>
      <c r="CC127" s="112"/>
      <c r="CD127" s="112"/>
      <c r="CE127" s="112"/>
      <c r="CF127" s="112"/>
      <c r="CG127" s="112"/>
      <c r="CI127" s="116">
        <f t="shared" si="136"/>
        <v>0</v>
      </c>
      <c r="CJ127" s="78">
        <v>45474</v>
      </c>
      <c r="CK127" s="112"/>
      <c r="CL127" s="112"/>
      <c r="CM127" s="112"/>
      <c r="CN127" s="112"/>
      <c r="CO127" s="112"/>
      <c r="CQ127" s="116">
        <f t="shared" si="137"/>
        <v>0</v>
      </c>
      <c r="CR127" s="78">
        <v>45474</v>
      </c>
      <c r="CS127" s="112"/>
      <c r="CT127" s="112"/>
      <c r="CU127" s="112"/>
      <c r="CV127" s="112"/>
      <c r="CW127" s="112"/>
    </row>
    <row r="128" spans="15:101">
      <c r="O128" s="116">
        <f t="shared" si="127"/>
        <v>0</v>
      </c>
      <c r="P128" s="78">
        <v>45505</v>
      </c>
      <c r="Q128" s="80"/>
      <c r="R128" s="80"/>
      <c r="S128" s="80"/>
      <c r="T128" s="80"/>
      <c r="U128" s="80"/>
      <c r="V128" s="86"/>
      <c r="W128" s="116">
        <f t="shared" si="128"/>
        <v>0</v>
      </c>
      <c r="X128" s="78">
        <v>45505</v>
      </c>
      <c r="Y128" s="112"/>
      <c r="Z128" s="112"/>
      <c r="AA128" s="112"/>
      <c r="AB128" s="112"/>
      <c r="AC128" s="112"/>
      <c r="AE128" s="116">
        <f t="shared" si="129"/>
        <v>0</v>
      </c>
      <c r="AF128" s="78">
        <v>45505</v>
      </c>
      <c r="AG128" s="112"/>
      <c r="AH128" s="112"/>
      <c r="AI128" s="112"/>
      <c r="AJ128" s="112"/>
      <c r="AK128" s="112"/>
      <c r="AM128" s="116">
        <f t="shared" si="130"/>
        <v>0</v>
      </c>
      <c r="AN128" s="78">
        <v>45505</v>
      </c>
      <c r="AO128" s="112"/>
      <c r="AP128" s="112"/>
      <c r="AQ128" s="112"/>
      <c r="AR128" s="112"/>
      <c r="AS128" s="112"/>
      <c r="AU128" s="116">
        <f t="shared" si="131"/>
        <v>0</v>
      </c>
      <c r="AV128" s="78">
        <v>45505</v>
      </c>
      <c r="AW128" s="112"/>
      <c r="AX128" s="112"/>
      <c r="AY128" s="112"/>
      <c r="AZ128" s="112"/>
      <c r="BA128" s="112"/>
      <c r="BC128" s="116">
        <f t="shared" si="132"/>
        <v>0</v>
      </c>
      <c r="BD128" s="78">
        <v>45505</v>
      </c>
      <c r="BE128" s="112"/>
      <c r="BF128" s="112"/>
      <c r="BG128" s="112"/>
      <c r="BH128" s="112"/>
      <c r="BI128" s="112"/>
      <c r="BK128" s="116">
        <f t="shared" si="133"/>
        <v>0</v>
      </c>
      <c r="BL128" s="78">
        <v>45505</v>
      </c>
      <c r="BM128" s="112"/>
      <c r="BN128" s="112"/>
      <c r="BO128" s="112"/>
      <c r="BP128" s="112"/>
      <c r="BQ128" s="112"/>
      <c r="BS128" s="116">
        <f t="shared" si="134"/>
        <v>0</v>
      </c>
      <c r="BT128" s="78">
        <v>45505</v>
      </c>
      <c r="BU128" s="112"/>
      <c r="BV128" s="112"/>
      <c r="BW128" s="112"/>
      <c r="BX128" s="112"/>
      <c r="BY128" s="112"/>
      <c r="CA128" s="116">
        <f t="shared" si="135"/>
        <v>0</v>
      </c>
      <c r="CB128" s="78">
        <v>45505</v>
      </c>
      <c r="CC128" s="112"/>
      <c r="CD128" s="112"/>
      <c r="CE128" s="112"/>
      <c r="CF128" s="112"/>
      <c r="CG128" s="112"/>
      <c r="CI128" s="116">
        <f t="shared" si="136"/>
        <v>0</v>
      </c>
      <c r="CJ128" s="78">
        <v>45505</v>
      </c>
      <c r="CK128" s="112"/>
      <c r="CL128" s="112"/>
      <c r="CM128" s="112"/>
      <c r="CN128" s="112"/>
      <c r="CO128" s="112"/>
      <c r="CQ128" s="116">
        <f t="shared" si="137"/>
        <v>0</v>
      </c>
      <c r="CR128" s="78">
        <v>45505</v>
      </c>
      <c r="CS128" s="112"/>
      <c r="CT128" s="112"/>
      <c r="CU128" s="112"/>
      <c r="CV128" s="112"/>
      <c r="CW128" s="112"/>
    </row>
    <row r="129" spans="15:101">
      <c r="O129" s="116">
        <f t="shared" si="127"/>
        <v>0</v>
      </c>
      <c r="P129" s="78">
        <v>45536</v>
      </c>
      <c r="Q129" s="80"/>
      <c r="R129" s="80"/>
      <c r="S129" s="80"/>
      <c r="T129" s="80"/>
      <c r="U129" s="80"/>
      <c r="V129" s="86"/>
      <c r="W129" s="116">
        <f t="shared" si="128"/>
        <v>0</v>
      </c>
      <c r="X129" s="78">
        <v>45536</v>
      </c>
      <c r="Y129" s="112"/>
      <c r="Z129" s="112"/>
      <c r="AA129" s="112"/>
      <c r="AB129" s="112"/>
      <c r="AC129" s="112"/>
      <c r="AE129" s="116">
        <f t="shared" si="129"/>
        <v>0</v>
      </c>
      <c r="AF129" s="78">
        <v>45536</v>
      </c>
      <c r="AG129" s="112"/>
      <c r="AH129" s="112"/>
      <c r="AI129" s="112"/>
      <c r="AJ129" s="112"/>
      <c r="AK129" s="112"/>
      <c r="AM129" s="116">
        <f t="shared" si="130"/>
        <v>0</v>
      </c>
      <c r="AN129" s="78">
        <v>45536</v>
      </c>
      <c r="AO129" s="112"/>
      <c r="AP129" s="112"/>
      <c r="AQ129" s="112"/>
      <c r="AR129" s="112"/>
      <c r="AS129" s="112"/>
      <c r="AU129" s="116">
        <f t="shared" si="131"/>
        <v>0</v>
      </c>
      <c r="AV129" s="78">
        <v>45536</v>
      </c>
      <c r="AW129" s="112"/>
      <c r="AX129" s="112"/>
      <c r="AY129" s="112"/>
      <c r="AZ129" s="112"/>
      <c r="BA129" s="112"/>
      <c r="BC129" s="116">
        <f t="shared" si="132"/>
        <v>0</v>
      </c>
      <c r="BD129" s="78">
        <v>45536</v>
      </c>
      <c r="BE129" s="112"/>
      <c r="BF129" s="112"/>
      <c r="BG129" s="112"/>
      <c r="BH129" s="112"/>
      <c r="BI129" s="112"/>
      <c r="BK129" s="116">
        <f t="shared" si="133"/>
        <v>0</v>
      </c>
      <c r="BL129" s="78">
        <v>45536</v>
      </c>
      <c r="BM129" s="112"/>
      <c r="BN129" s="112"/>
      <c r="BO129" s="112"/>
      <c r="BP129" s="112"/>
      <c r="BQ129" s="112"/>
      <c r="BS129" s="116">
        <f t="shared" si="134"/>
        <v>0</v>
      </c>
      <c r="BT129" s="78">
        <v>45536</v>
      </c>
      <c r="BU129" s="112"/>
      <c r="BV129" s="112"/>
      <c r="BW129" s="112"/>
      <c r="BX129" s="112"/>
      <c r="BY129" s="112"/>
      <c r="CA129" s="116">
        <f t="shared" si="135"/>
        <v>0</v>
      </c>
      <c r="CB129" s="78">
        <v>45536</v>
      </c>
      <c r="CC129" s="112"/>
      <c r="CD129" s="112"/>
      <c r="CE129" s="112"/>
      <c r="CF129" s="112"/>
      <c r="CG129" s="112"/>
      <c r="CI129" s="116">
        <f t="shared" si="136"/>
        <v>0</v>
      </c>
      <c r="CJ129" s="78">
        <v>45536</v>
      </c>
      <c r="CK129" s="112"/>
      <c r="CL129" s="112"/>
      <c r="CM129" s="112"/>
      <c r="CN129" s="112"/>
      <c r="CO129" s="112"/>
      <c r="CQ129" s="116">
        <f t="shared" si="137"/>
        <v>0</v>
      </c>
      <c r="CR129" s="78">
        <v>45536</v>
      </c>
      <c r="CS129" s="112"/>
      <c r="CT129" s="112"/>
      <c r="CU129" s="112"/>
      <c r="CV129" s="112"/>
      <c r="CW129" s="112"/>
    </row>
    <row r="130" spans="15:101">
      <c r="O130" s="116">
        <f t="shared" si="127"/>
        <v>0</v>
      </c>
      <c r="P130" s="78">
        <v>45566</v>
      </c>
      <c r="Q130" s="80"/>
      <c r="R130" s="80"/>
      <c r="S130" s="80"/>
      <c r="T130" s="80"/>
      <c r="U130" s="80"/>
      <c r="V130" s="86"/>
      <c r="W130" s="116">
        <f t="shared" si="128"/>
        <v>0</v>
      </c>
      <c r="X130" s="78">
        <v>45566</v>
      </c>
      <c r="Y130" s="112"/>
      <c r="Z130" s="112"/>
      <c r="AA130" s="112"/>
      <c r="AB130" s="112"/>
      <c r="AC130" s="112"/>
      <c r="AE130" s="116">
        <f t="shared" si="129"/>
        <v>0</v>
      </c>
      <c r="AF130" s="78">
        <v>45566</v>
      </c>
      <c r="AG130" s="112"/>
      <c r="AH130" s="112"/>
      <c r="AI130" s="112"/>
      <c r="AJ130" s="112"/>
      <c r="AK130" s="112"/>
      <c r="AM130" s="116">
        <f t="shared" si="130"/>
        <v>0</v>
      </c>
      <c r="AN130" s="78">
        <v>45566</v>
      </c>
      <c r="AO130" s="112"/>
      <c r="AP130" s="112"/>
      <c r="AQ130" s="112"/>
      <c r="AR130" s="112"/>
      <c r="AS130" s="112"/>
      <c r="AU130" s="116">
        <f t="shared" si="131"/>
        <v>0</v>
      </c>
      <c r="AV130" s="78">
        <v>45566</v>
      </c>
      <c r="AW130" s="112"/>
      <c r="AX130" s="112"/>
      <c r="AY130" s="112"/>
      <c r="AZ130" s="112"/>
      <c r="BA130" s="112"/>
      <c r="BC130" s="116">
        <f t="shared" si="132"/>
        <v>0</v>
      </c>
      <c r="BD130" s="78">
        <v>45566</v>
      </c>
      <c r="BE130" s="112"/>
      <c r="BF130" s="112"/>
      <c r="BG130" s="112"/>
      <c r="BH130" s="112"/>
      <c r="BI130" s="112"/>
      <c r="BK130" s="116">
        <f t="shared" si="133"/>
        <v>0</v>
      </c>
      <c r="BL130" s="78">
        <v>45566</v>
      </c>
      <c r="BM130" s="112"/>
      <c r="BN130" s="112"/>
      <c r="BO130" s="112"/>
      <c r="BP130" s="112"/>
      <c r="BQ130" s="112"/>
      <c r="BS130" s="116">
        <f t="shared" si="134"/>
        <v>0</v>
      </c>
      <c r="BT130" s="78">
        <v>45566</v>
      </c>
      <c r="BU130" s="112"/>
      <c r="BV130" s="112"/>
      <c r="BW130" s="112"/>
      <c r="BX130" s="112"/>
      <c r="BY130" s="112"/>
      <c r="CA130" s="116">
        <f t="shared" si="135"/>
        <v>0</v>
      </c>
      <c r="CB130" s="78">
        <v>45566</v>
      </c>
      <c r="CC130" s="112"/>
      <c r="CD130" s="112"/>
      <c r="CE130" s="112"/>
      <c r="CF130" s="112"/>
      <c r="CG130" s="112"/>
      <c r="CI130" s="116">
        <f t="shared" si="136"/>
        <v>0</v>
      </c>
      <c r="CJ130" s="78">
        <v>45566</v>
      </c>
      <c r="CK130" s="112"/>
      <c r="CL130" s="112"/>
      <c r="CM130" s="112"/>
      <c r="CN130" s="112"/>
      <c r="CO130" s="112"/>
      <c r="CQ130" s="116">
        <f t="shared" si="137"/>
        <v>0</v>
      </c>
      <c r="CR130" s="78">
        <v>45566</v>
      </c>
      <c r="CS130" s="112"/>
      <c r="CT130" s="112"/>
      <c r="CU130" s="112"/>
      <c r="CV130" s="112"/>
      <c r="CW130" s="112"/>
    </row>
    <row r="131" spans="15:101">
      <c r="O131" s="116">
        <f t="shared" si="127"/>
        <v>0</v>
      </c>
      <c r="P131" s="78">
        <v>45597</v>
      </c>
      <c r="Q131" s="80"/>
      <c r="R131" s="80"/>
      <c r="S131" s="80"/>
      <c r="T131" s="80"/>
      <c r="U131" s="80"/>
      <c r="V131" s="86"/>
      <c r="W131" s="116">
        <f t="shared" si="128"/>
        <v>0</v>
      </c>
      <c r="X131" s="78">
        <v>45597</v>
      </c>
      <c r="Y131" s="112"/>
      <c r="Z131" s="112"/>
      <c r="AA131" s="112"/>
      <c r="AB131" s="112"/>
      <c r="AC131" s="112"/>
      <c r="AE131" s="116">
        <f t="shared" si="129"/>
        <v>0</v>
      </c>
      <c r="AF131" s="78">
        <v>45597</v>
      </c>
      <c r="AG131" s="112"/>
      <c r="AH131" s="112"/>
      <c r="AI131" s="112"/>
      <c r="AJ131" s="112"/>
      <c r="AK131" s="112"/>
      <c r="AM131" s="116">
        <f t="shared" si="130"/>
        <v>0</v>
      </c>
      <c r="AN131" s="78">
        <v>45597</v>
      </c>
      <c r="AO131" s="112"/>
      <c r="AP131" s="112"/>
      <c r="AQ131" s="112"/>
      <c r="AR131" s="112"/>
      <c r="AS131" s="112"/>
      <c r="AU131" s="116">
        <f t="shared" si="131"/>
        <v>0</v>
      </c>
      <c r="AV131" s="78">
        <v>45597</v>
      </c>
      <c r="AW131" s="112"/>
      <c r="AX131" s="112"/>
      <c r="AY131" s="112"/>
      <c r="AZ131" s="112"/>
      <c r="BA131" s="112"/>
      <c r="BC131" s="116">
        <f t="shared" si="132"/>
        <v>0</v>
      </c>
      <c r="BD131" s="78">
        <v>45597</v>
      </c>
      <c r="BE131" s="112"/>
      <c r="BF131" s="112"/>
      <c r="BG131" s="112"/>
      <c r="BH131" s="112"/>
      <c r="BI131" s="112"/>
      <c r="BK131" s="116">
        <f t="shared" si="133"/>
        <v>0</v>
      </c>
      <c r="BL131" s="78">
        <v>45597</v>
      </c>
      <c r="BM131" s="112"/>
      <c r="BN131" s="112"/>
      <c r="BO131" s="112"/>
      <c r="BP131" s="112"/>
      <c r="BQ131" s="112"/>
      <c r="BS131" s="116">
        <f t="shared" si="134"/>
        <v>0</v>
      </c>
      <c r="BT131" s="78">
        <v>45597</v>
      </c>
      <c r="BU131" s="112"/>
      <c r="BV131" s="112"/>
      <c r="BW131" s="112"/>
      <c r="BX131" s="112"/>
      <c r="BY131" s="112"/>
      <c r="CA131" s="116">
        <f t="shared" si="135"/>
        <v>0</v>
      </c>
      <c r="CB131" s="78">
        <v>45597</v>
      </c>
      <c r="CC131" s="112"/>
      <c r="CD131" s="112"/>
      <c r="CE131" s="112"/>
      <c r="CF131" s="112"/>
      <c r="CG131" s="112"/>
      <c r="CI131" s="116">
        <f t="shared" si="136"/>
        <v>0</v>
      </c>
      <c r="CJ131" s="78">
        <v>45597</v>
      </c>
      <c r="CK131" s="112"/>
      <c r="CL131" s="112"/>
      <c r="CM131" s="112"/>
      <c r="CN131" s="112"/>
      <c r="CO131" s="112"/>
      <c r="CQ131" s="116">
        <f t="shared" si="137"/>
        <v>0</v>
      </c>
      <c r="CR131" s="78">
        <v>45597</v>
      </c>
      <c r="CS131" s="112"/>
      <c r="CT131" s="112"/>
      <c r="CU131" s="112"/>
      <c r="CV131" s="112"/>
      <c r="CW131" s="112"/>
    </row>
    <row r="132" spans="15:101">
      <c r="O132" s="116">
        <f t="shared" si="127"/>
        <v>0</v>
      </c>
      <c r="P132" s="83">
        <v>45627</v>
      </c>
      <c r="Q132" s="84"/>
      <c r="R132" s="84"/>
      <c r="S132" s="84"/>
      <c r="T132" s="84"/>
      <c r="U132" s="84"/>
      <c r="V132" s="86"/>
      <c r="W132" s="116">
        <f t="shared" si="128"/>
        <v>0</v>
      </c>
      <c r="X132" s="83">
        <v>45627</v>
      </c>
      <c r="Y132" s="113"/>
      <c r="Z132" s="113"/>
      <c r="AA132" s="113"/>
      <c r="AB132" s="113"/>
      <c r="AC132" s="113"/>
      <c r="AE132" s="116">
        <f t="shared" si="129"/>
        <v>0</v>
      </c>
      <c r="AF132" s="83">
        <v>45627</v>
      </c>
      <c r="AG132" s="113"/>
      <c r="AH132" s="113"/>
      <c r="AI132" s="113"/>
      <c r="AJ132" s="113"/>
      <c r="AK132" s="113"/>
      <c r="AM132" s="116">
        <f t="shared" si="130"/>
        <v>0</v>
      </c>
      <c r="AN132" s="83">
        <v>45627</v>
      </c>
      <c r="AO132" s="113"/>
      <c r="AP132" s="113"/>
      <c r="AQ132" s="113"/>
      <c r="AR132" s="113"/>
      <c r="AS132" s="113"/>
      <c r="AU132" s="116">
        <f t="shared" si="131"/>
        <v>0</v>
      </c>
      <c r="AV132" s="83">
        <v>45627</v>
      </c>
      <c r="AW132" s="113"/>
      <c r="AX132" s="113"/>
      <c r="AY132" s="113"/>
      <c r="AZ132" s="113"/>
      <c r="BA132" s="113"/>
      <c r="BC132" s="116">
        <f t="shared" si="132"/>
        <v>0</v>
      </c>
      <c r="BD132" s="83">
        <v>45627</v>
      </c>
      <c r="BE132" s="113"/>
      <c r="BF132" s="113"/>
      <c r="BG132" s="113"/>
      <c r="BH132" s="113"/>
      <c r="BI132" s="113"/>
      <c r="BK132" s="116">
        <f t="shared" si="133"/>
        <v>0</v>
      </c>
      <c r="BL132" s="83">
        <v>45627</v>
      </c>
      <c r="BM132" s="113"/>
      <c r="BN132" s="113"/>
      <c r="BO132" s="113"/>
      <c r="BP132" s="113"/>
      <c r="BQ132" s="113"/>
      <c r="BS132" s="116">
        <f t="shared" si="134"/>
        <v>0</v>
      </c>
      <c r="BT132" s="83">
        <v>45627</v>
      </c>
      <c r="BU132" s="113"/>
      <c r="BV132" s="113"/>
      <c r="BW132" s="113"/>
      <c r="BX132" s="113"/>
      <c r="BY132" s="113"/>
      <c r="CA132" s="116">
        <f t="shared" si="135"/>
        <v>0</v>
      </c>
      <c r="CB132" s="83">
        <v>45627</v>
      </c>
      <c r="CC132" s="113"/>
      <c r="CD132" s="113"/>
      <c r="CE132" s="113"/>
      <c r="CF132" s="113"/>
      <c r="CG132" s="113"/>
      <c r="CI132" s="116">
        <f t="shared" si="136"/>
        <v>0</v>
      </c>
      <c r="CJ132" s="83">
        <v>45627</v>
      </c>
      <c r="CK132" s="113"/>
      <c r="CL132" s="113"/>
      <c r="CM132" s="113"/>
      <c r="CN132" s="113"/>
      <c r="CO132" s="113"/>
      <c r="CQ132" s="116">
        <f t="shared" si="137"/>
        <v>0</v>
      </c>
      <c r="CR132" s="83">
        <v>45627</v>
      </c>
      <c r="CS132" s="113"/>
      <c r="CT132" s="113"/>
      <c r="CU132" s="113"/>
      <c r="CV132" s="113"/>
      <c r="CW132" s="113"/>
    </row>
    <row r="133" spans="15:101">
      <c r="O133" s="138" t="s">
        <v>20</v>
      </c>
      <c r="P133" s="87">
        <f>P120+1</f>
        <v>2024</v>
      </c>
      <c r="Q133" s="94">
        <f>SUM(Q121:Q132)</f>
        <v>0</v>
      </c>
      <c r="R133" s="94">
        <f>SUM(R121:R132)</f>
        <v>0</v>
      </c>
      <c r="S133" s="94">
        <f>SUM(S121:S132)</f>
        <v>0</v>
      </c>
      <c r="T133" s="94">
        <f>SUM(T121:T132)</f>
        <v>0</v>
      </c>
      <c r="U133" s="94">
        <f>U132</f>
        <v>0</v>
      </c>
      <c r="V133" s="101"/>
      <c r="W133" s="138" t="s">
        <v>20</v>
      </c>
      <c r="X133" s="87">
        <f>X120+1</f>
        <v>2024</v>
      </c>
      <c r="Y133" s="107">
        <f>SUM(Y121:Y132)</f>
        <v>0</v>
      </c>
      <c r="Z133" s="107">
        <f>SUM(Z121:Z132)</f>
        <v>0</v>
      </c>
      <c r="AA133" s="107">
        <f>SUM(AA121:AA132)</f>
        <v>0</v>
      </c>
      <c r="AB133" s="107">
        <f>SUM(AB121:AB132)</f>
        <v>0</v>
      </c>
      <c r="AC133" s="107">
        <f>AC132</f>
        <v>0</v>
      </c>
      <c r="AE133" s="138" t="s">
        <v>20</v>
      </c>
      <c r="AF133" s="87">
        <f>AF120+1</f>
        <v>2024</v>
      </c>
      <c r="AG133" s="107">
        <f>SUM(AG121:AG132)</f>
        <v>0</v>
      </c>
      <c r="AH133" s="107">
        <f>SUM(AH121:AH132)</f>
        <v>0</v>
      </c>
      <c r="AI133" s="107">
        <f>SUM(AI121:AI132)</f>
        <v>0</v>
      </c>
      <c r="AJ133" s="107">
        <f>SUM(AJ121:AJ132)</f>
        <v>0</v>
      </c>
      <c r="AK133" s="107">
        <f>AK132</f>
        <v>0</v>
      </c>
      <c r="AM133" s="138" t="s">
        <v>20</v>
      </c>
      <c r="AN133" s="87">
        <f>AN120+1</f>
        <v>2024</v>
      </c>
      <c r="AO133" s="107">
        <f>SUM(AO121:AO132)</f>
        <v>0</v>
      </c>
      <c r="AP133" s="107">
        <f>SUM(AP121:AP132)</f>
        <v>0</v>
      </c>
      <c r="AQ133" s="107">
        <f>SUM(AQ121:AQ132)</f>
        <v>0</v>
      </c>
      <c r="AR133" s="107">
        <f>SUM(AR121:AR132)</f>
        <v>0</v>
      </c>
      <c r="AS133" s="107">
        <f>AS132</f>
        <v>0</v>
      </c>
      <c r="AU133" s="138" t="s">
        <v>20</v>
      </c>
      <c r="AV133" s="87">
        <f>AV120+1</f>
        <v>2024</v>
      </c>
      <c r="AW133" s="107">
        <f>SUM(AW121:AW132)</f>
        <v>0</v>
      </c>
      <c r="AX133" s="107">
        <f>SUM(AX121:AX132)</f>
        <v>0</v>
      </c>
      <c r="AY133" s="107">
        <f>SUM(AY121:AY132)</f>
        <v>0</v>
      </c>
      <c r="AZ133" s="107">
        <f>SUM(AZ121:AZ132)</f>
        <v>0</v>
      </c>
      <c r="BA133" s="107">
        <f>BA132</f>
        <v>0</v>
      </c>
      <c r="BC133" s="138" t="s">
        <v>20</v>
      </c>
      <c r="BD133" s="87">
        <f>BD120+1</f>
        <v>2024</v>
      </c>
      <c r="BE133" s="107">
        <f>SUM(BE121:BE132)</f>
        <v>0</v>
      </c>
      <c r="BF133" s="107">
        <f>SUM(BF121:BF132)</f>
        <v>0</v>
      </c>
      <c r="BG133" s="107">
        <f>SUM(BG121:BG132)</f>
        <v>0</v>
      </c>
      <c r="BH133" s="107">
        <f>SUM(BH121:BH132)</f>
        <v>0</v>
      </c>
      <c r="BI133" s="107">
        <f>BI132</f>
        <v>0</v>
      </c>
      <c r="BK133" s="138" t="s">
        <v>20</v>
      </c>
      <c r="BL133" s="87">
        <f>BL120+1</f>
        <v>2024</v>
      </c>
      <c r="BM133" s="107">
        <f>SUM(BM121:BM132)</f>
        <v>0</v>
      </c>
      <c r="BN133" s="107">
        <f>SUM(BN121:BN132)</f>
        <v>0</v>
      </c>
      <c r="BO133" s="107">
        <f>SUM(BO121:BO132)</f>
        <v>0</v>
      </c>
      <c r="BP133" s="107">
        <f>SUM(BP121:BP132)</f>
        <v>0</v>
      </c>
      <c r="BQ133" s="107">
        <f>BQ132</f>
        <v>0</v>
      </c>
      <c r="BS133" s="138" t="s">
        <v>20</v>
      </c>
      <c r="BT133" s="87">
        <f>BT120+1</f>
        <v>2024</v>
      </c>
      <c r="BU133" s="107">
        <f>SUM(BU121:BU132)</f>
        <v>0</v>
      </c>
      <c r="BV133" s="107">
        <f>SUM(BV121:BV132)</f>
        <v>0</v>
      </c>
      <c r="BW133" s="107">
        <f>SUM(BW121:BW132)</f>
        <v>0</v>
      </c>
      <c r="BX133" s="107">
        <f>SUM(BX121:BX132)</f>
        <v>0</v>
      </c>
      <c r="BY133" s="107">
        <f>BY132</f>
        <v>0</v>
      </c>
      <c r="CA133" s="138" t="s">
        <v>20</v>
      </c>
      <c r="CB133" s="87">
        <f>CB120+1</f>
        <v>2024</v>
      </c>
      <c r="CC133" s="107">
        <f>SUM(CC121:CC132)</f>
        <v>0</v>
      </c>
      <c r="CD133" s="107">
        <f>SUM(CD121:CD132)</f>
        <v>0</v>
      </c>
      <c r="CE133" s="107">
        <f>SUM(CE121:CE132)</f>
        <v>0</v>
      </c>
      <c r="CF133" s="107">
        <f>SUM(CF121:CF132)</f>
        <v>0</v>
      </c>
      <c r="CG133" s="107">
        <f>CG132</f>
        <v>0</v>
      </c>
      <c r="CI133" s="138" t="s">
        <v>20</v>
      </c>
      <c r="CJ133" s="87">
        <f>CJ120+1</f>
        <v>2024</v>
      </c>
      <c r="CK133" s="107">
        <f>SUM(CK121:CK132)</f>
        <v>0</v>
      </c>
      <c r="CL133" s="107">
        <f>SUM(CL121:CL132)</f>
        <v>0</v>
      </c>
      <c r="CM133" s="107">
        <f>SUM(CM121:CM132)</f>
        <v>0</v>
      </c>
      <c r="CN133" s="107">
        <f>SUM(CN121:CN132)</f>
        <v>0</v>
      </c>
      <c r="CO133" s="107">
        <f>CO132</f>
        <v>0</v>
      </c>
      <c r="CQ133" s="138" t="s">
        <v>20</v>
      </c>
      <c r="CR133" s="87">
        <f>CR120+1</f>
        <v>2024</v>
      </c>
      <c r="CS133" s="107">
        <f>SUM(CS121:CS132)</f>
        <v>0</v>
      </c>
      <c r="CT133" s="107">
        <f>SUM(CT121:CT132)</f>
        <v>0</v>
      </c>
      <c r="CU133" s="107">
        <f>SUM(CU121:CU132)</f>
        <v>0</v>
      </c>
      <c r="CV133" s="107">
        <f>SUM(CV121:CV132)</f>
        <v>0</v>
      </c>
      <c r="CW133" s="107">
        <f>CW132</f>
        <v>0</v>
      </c>
    </row>
    <row r="134" spans="15:101">
      <c r="O134" s="116">
        <f>IF(AND(Q134&gt;0,O132&gt;=0),O132+1,0)</f>
        <v>0</v>
      </c>
      <c r="P134" s="77">
        <v>45658</v>
      </c>
      <c r="Q134" s="82"/>
      <c r="R134" s="82"/>
      <c r="S134" s="82"/>
      <c r="T134" s="82"/>
      <c r="U134" s="82"/>
      <c r="V134" s="86"/>
      <c r="W134" s="116">
        <f>IF(AND(Y134&gt;0,W132&gt;=0),W132+1,0)</f>
        <v>0</v>
      </c>
      <c r="X134" s="77">
        <v>45658</v>
      </c>
      <c r="Y134" s="114"/>
      <c r="Z134" s="114"/>
      <c r="AA134" s="114"/>
      <c r="AB134" s="114"/>
      <c r="AC134" s="114"/>
      <c r="AE134" s="116">
        <f>IF(AND(AG134&gt;0,AE132&gt;=0),AE132+1,0)</f>
        <v>0</v>
      </c>
      <c r="AF134" s="77">
        <v>45658</v>
      </c>
      <c r="AG134" s="114"/>
      <c r="AH134" s="114"/>
      <c r="AI134" s="114"/>
      <c r="AJ134" s="114"/>
      <c r="AK134" s="114"/>
      <c r="AM134" s="116">
        <f>IF(AND(AO134&gt;0,AM132&gt;=0),AM132+1,0)</f>
        <v>0</v>
      </c>
      <c r="AN134" s="77">
        <v>45658</v>
      </c>
      <c r="AO134" s="114"/>
      <c r="AP134" s="114"/>
      <c r="AQ134" s="114"/>
      <c r="AR134" s="114"/>
      <c r="AS134" s="114"/>
      <c r="AU134" s="116">
        <f>IF(AND(AW134&gt;0,AU132&gt;=0),AU132+1,0)</f>
        <v>0</v>
      </c>
      <c r="AV134" s="77">
        <v>45658</v>
      </c>
      <c r="AW134" s="114"/>
      <c r="AX134" s="114"/>
      <c r="AY134" s="114"/>
      <c r="AZ134" s="114"/>
      <c r="BA134" s="114"/>
      <c r="BC134" s="116">
        <f>IF(AND(BE134&gt;0,BC132&gt;=0),BC132+1,0)</f>
        <v>0</v>
      </c>
      <c r="BD134" s="77">
        <v>45658</v>
      </c>
      <c r="BE134" s="114"/>
      <c r="BF134" s="114"/>
      <c r="BG134" s="114"/>
      <c r="BH134" s="114"/>
      <c r="BI134" s="114"/>
      <c r="BK134" s="116">
        <f>IF(AND(BM134&gt;0,BK132&gt;=0),BK132+1,0)</f>
        <v>0</v>
      </c>
      <c r="BL134" s="77">
        <v>45658</v>
      </c>
      <c r="BM134" s="114"/>
      <c r="BN134" s="114"/>
      <c r="BO134" s="114"/>
      <c r="BP134" s="114"/>
      <c r="BQ134" s="114"/>
      <c r="BS134" s="116">
        <f>IF(AND(BU134&gt;0,BS132&gt;=0),BS132+1,0)</f>
        <v>0</v>
      </c>
      <c r="BT134" s="77">
        <v>45658</v>
      </c>
      <c r="BU134" s="114"/>
      <c r="BV134" s="114"/>
      <c r="BW134" s="114"/>
      <c r="BX134" s="114"/>
      <c r="BY134" s="114"/>
      <c r="CA134" s="116">
        <f>IF(AND(CC134&gt;0,CA132&gt;=0),CA132+1,0)</f>
        <v>0</v>
      </c>
      <c r="CB134" s="77">
        <v>45658</v>
      </c>
      <c r="CC134" s="114"/>
      <c r="CD134" s="114"/>
      <c r="CE134" s="114"/>
      <c r="CF134" s="114"/>
      <c r="CG134" s="114"/>
      <c r="CI134" s="116">
        <f>IF(AND(CK134&gt;0,CI132&gt;=0),CI132+1,0)</f>
        <v>0</v>
      </c>
      <c r="CJ134" s="77">
        <v>45658</v>
      </c>
      <c r="CK134" s="114"/>
      <c r="CL134" s="114"/>
      <c r="CM134" s="114"/>
      <c r="CN134" s="114"/>
      <c r="CO134" s="114"/>
      <c r="CQ134" s="116">
        <f>IF(AND(CS134&gt;0,CQ132&gt;=0),CQ132+1,0)</f>
        <v>0</v>
      </c>
      <c r="CR134" s="77">
        <v>45658</v>
      </c>
      <c r="CS134" s="114"/>
      <c r="CT134" s="114"/>
      <c r="CU134" s="114"/>
      <c r="CV134" s="114"/>
      <c r="CW134" s="114"/>
    </row>
    <row r="135" spans="15:101">
      <c r="O135" s="116">
        <f t="shared" ref="O135:O145" si="138">IF(AND(Q135&gt;0,O134&gt;=0),O134+1,0)</f>
        <v>0</v>
      </c>
      <c r="P135" s="78">
        <v>45689</v>
      </c>
      <c r="Q135" s="80"/>
      <c r="R135" s="80"/>
      <c r="S135" s="80"/>
      <c r="T135" s="80"/>
      <c r="U135" s="80"/>
      <c r="V135" s="86"/>
      <c r="W135" s="116">
        <f t="shared" ref="W135:W145" si="139">IF(AND(Y135&gt;0,W134&gt;=0),W134+1,0)</f>
        <v>0</v>
      </c>
      <c r="X135" s="78">
        <v>45689</v>
      </c>
      <c r="Y135" s="112"/>
      <c r="Z135" s="112"/>
      <c r="AA135" s="112"/>
      <c r="AB135" s="112"/>
      <c r="AC135" s="112"/>
      <c r="AE135" s="116">
        <f t="shared" ref="AE135:AE145" si="140">IF(AND(AG135&gt;0,AE134&gt;=0),AE134+1,0)</f>
        <v>0</v>
      </c>
      <c r="AF135" s="78">
        <v>45689</v>
      </c>
      <c r="AG135" s="112"/>
      <c r="AH135" s="112"/>
      <c r="AI135" s="112"/>
      <c r="AJ135" s="112"/>
      <c r="AK135" s="112"/>
      <c r="AM135" s="116">
        <f t="shared" ref="AM135:AM145" si="141">IF(AND(AO135&gt;0,AM134&gt;=0),AM134+1,0)</f>
        <v>0</v>
      </c>
      <c r="AN135" s="78">
        <v>45689</v>
      </c>
      <c r="AO135" s="112"/>
      <c r="AP135" s="112"/>
      <c r="AQ135" s="112"/>
      <c r="AR135" s="112"/>
      <c r="AS135" s="112"/>
      <c r="AU135" s="116">
        <f t="shared" ref="AU135:AU145" si="142">IF(AND(AW135&gt;0,AU134&gt;=0),AU134+1,0)</f>
        <v>0</v>
      </c>
      <c r="AV135" s="78">
        <v>45689</v>
      </c>
      <c r="AW135" s="112"/>
      <c r="AX135" s="112"/>
      <c r="AY135" s="112"/>
      <c r="AZ135" s="112"/>
      <c r="BA135" s="112"/>
      <c r="BC135" s="116">
        <f t="shared" ref="BC135:BC145" si="143">IF(AND(BE135&gt;0,BC134&gt;=0),BC134+1,0)</f>
        <v>0</v>
      </c>
      <c r="BD135" s="78">
        <v>45689</v>
      </c>
      <c r="BE135" s="112"/>
      <c r="BF135" s="112"/>
      <c r="BG135" s="112"/>
      <c r="BH135" s="112"/>
      <c r="BI135" s="112"/>
      <c r="BK135" s="116">
        <f t="shared" ref="BK135:BK145" si="144">IF(AND(BM135&gt;0,BK134&gt;=0),BK134+1,0)</f>
        <v>0</v>
      </c>
      <c r="BL135" s="78">
        <v>45689</v>
      </c>
      <c r="BM135" s="112"/>
      <c r="BN135" s="112"/>
      <c r="BO135" s="112"/>
      <c r="BP135" s="112"/>
      <c r="BQ135" s="112"/>
      <c r="BS135" s="116">
        <f t="shared" ref="BS135:BS145" si="145">IF(AND(BU135&gt;0,BS134&gt;=0),BS134+1,0)</f>
        <v>0</v>
      </c>
      <c r="BT135" s="78">
        <v>45689</v>
      </c>
      <c r="BU135" s="112"/>
      <c r="BV135" s="112"/>
      <c r="BW135" s="112"/>
      <c r="BX135" s="112"/>
      <c r="BY135" s="112"/>
      <c r="CA135" s="116">
        <f t="shared" ref="CA135:CA145" si="146">IF(AND(CC135&gt;0,CA134&gt;=0),CA134+1,0)</f>
        <v>0</v>
      </c>
      <c r="CB135" s="78">
        <v>45689</v>
      </c>
      <c r="CC135" s="112"/>
      <c r="CD135" s="112"/>
      <c r="CE135" s="112"/>
      <c r="CF135" s="112"/>
      <c r="CG135" s="112"/>
      <c r="CI135" s="116">
        <f t="shared" ref="CI135:CI145" si="147">IF(AND(CK135&gt;0,CI134&gt;=0),CI134+1,0)</f>
        <v>0</v>
      </c>
      <c r="CJ135" s="78">
        <v>45689</v>
      </c>
      <c r="CK135" s="112"/>
      <c r="CL135" s="112"/>
      <c r="CM135" s="112"/>
      <c r="CN135" s="112"/>
      <c r="CO135" s="112"/>
      <c r="CQ135" s="116">
        <f t="shared" ref="CQ135:CQ145" si="148">IF(AND(CS135&gt;0,CQ134&gt;=0),CQ134+1,0)</f>
        <v>0</v>
      </c>
      <c r="CR135" s="78">
        <v>45689</v>
      </c>
      <c r="CS135" s="112"/>
      <c r="CT135" s="112"/>
      <c r="CU135" s="112"/>
      <c r="CV135" s="112"/>
      <c r="CW135" s="112"/>
    </row>
    <row r="136" spans="15:101">
      <c r="O136" s="116">
        <f t="shared" si="138"/>
        <v>0</v>
      </c>
      <c r="P136" s="78">
        <v>45717</v>
      </c>
      <c r="Q136" s="80"/>
      <c r="R136" s="80"/>
      <c r="S136" s="80"/>
      <c r="T136" s="80"/>
      <c r="U136" s="80"/>
      <c r="V136" s="86"/>
      <c r="W136" s="116">
        <f t="shared" si="139"/>
        <v>0</v>
      </c>
      <c r="X136" s="78">
        <v>45717</v>
      </c>
      <c r="Y136" s="112"/>
      <c r="Z136" s="112"/>
      <c r="AA136" s="112"/>
      <c r="AB136" s="112"/>
      <c r="AC136" s="112"/>
      <c r="AE136" s="116">
        <f t="shared" si="140"/>
        <v>0</v>
      </c>
      <c r="AF136" s="78">
        <v>45717</v>
      </c>
      <c r="AG136" s="112"/>
      <c r="AH136" s="112"/>
      <c r="AI136" s="112"/>
      <c r="AJ136" s="112"/>
      <c r="AK136" s="112"/>
      <c r="AM136" s="116">
        <f t="shared" si="141"/>
        <v>0</v>
      </c>
      <c r="AN136" s="78">
        <v>45717</v>
      </c>
      <c r="AO136" s="112"/>
      <c r="AP136" s="112"/>
      <c r="AQ136" s="112"/>
      <c r="AR136" s="112"/>
      <c r="AS136" s="112"/>
      <c r="AU136" s="116">
        <f t="shared" si="142"/>
        <v>0</v>
      </c>
      <c r="AV136" s="78">
        <v>45717</v>
      </c>
      <c r="AW136" s="112"/>
      <c r="AX136" s="112"/>
      <c r="AY136" s="112"/>
      <c r="AZ136" s="112"/>
      <c r="BA136" s="112"/>
      <c r="BC136" s="116">
        <f t="shared" si="143"/>
        <v>0</v>
      </c>
      <c r="BD136" s="78">
        <v>45717</v>
      </c>
      <c r="BE136" s="112"/>
      <c r="BF136" s="112"/>
      <c r="BG136" s="112"/>
      <c r="BH136" s="112"/>
      <c r="BI136" s="112"/>
      <c r="BK136" s="116">
        <f t="shared" si="144"/>
        <v>0</v>
      </c>
      <c r="BL136" s="78">
        <v>45717</v>
      </c>
      <c r="BM136" s="112"/>
      <c r="BN136" s="112"/>
      <c r="BO136" s="112"/>
      <c r="BP136" s="112"/>
      <c r="BQ136" s="112"/>
      <c r="BS136" s="116">
        <f t="shared" si="145"/>
        <v>0</v>
      </c>
      <c r="BT136" s="78">
        <v>45717</v>
      </c>
      <c r="BU136" s="112"/>
      <c r="BV136" s="112"/>
      <c r="BW136" s="112"/>
      <c r="BX136" s="112"/>
      <c r="BY136" s="112"/>
      <c r="CA136" s="116">
        <f t="shared" si="146"/>
        <v>0</v>
      </c>
      <c r="CB136" s="78">
        <v>45717</v>
      </c>
      <c r="CC136" s="112"/>
      <c r="CD136" s="112"/>
      <c r="CE136" s="112"/>
      <c r="CF136" s="112"/>
      <c r="CG136" s="112"/>
      <c r="CI136" s="116">
        <f t="shared" si="147"/>
        <v>0</v>
      </c>
      <c r="CJ136" s="78">
        <v>45717</v>
      </c>
      <c r="CK136" s="112"/>
      <c r="CL136" s="112"/>
      <c r="CM136" s="112"/>
      <c r="CN136" s="112"/>
      <c r="CO136" s="112"/>
      <c r="CQ136" s="116">
        <f t="shared" si="148"/>
        <v>0</v>
      </c>
      <c r="CR136" s="78">
        <v>45717</v>
      </c>
      <c r="CS136" s="112"/>
      <c r="CT136" s="112"/>
      <c r="CU136" s="112"/>
      <c r="CV136" s="112"/>
      <c r="CW136" s="112"/>
    </row>
    <row r="137" spans="15:101">
      <c r="O137" s="116">
        <f t="shared" si="138"/>
        <v>0</v>
      </c>
      <c r="P137" s="78">
        <v>45748</v>
      </c>
      <c r="Q137" s="80"/>
      <c r="R137" s="80"/>
      <c r="S137" s="80"/>
      <c r="T137" s="80"/>
      <c r="U137" s="80"/>
      <c r="V137" s="86"/>
      <c r="W137" s="116">
        <f t="shared" si="139"/>
        <v>0</v>
      </c>
      <c r="X137" s="78">
        <v>45748</v>
      </c>
      <c r="Y137" s="112"/>
      <c r="Z137" s="112"/>
      <c r="AA137" s="112"/>
      <c r="AB137" s="112"/>
      <c r="AC137" s="112"/>
      <c r="AE137" s="116">
        <f t="shared" si="140"/>
        <v>0</v>
      </c>
      <c r="AF137" s="78">
        <v>45748</v>
      </c>
      <c r="AG137" s="112"/>
      <c r="AH137" s="112"/>
      <c r="AI137" s="112"/>
      <c r="AJ137" s="112"/>
      <c r="AK137" s="112"/>
      <c r="AM137" s="116">
        <f t="shared" si="141"/>
        <v>0</v>
      </c>
      <c r="AN137" s="78">
        <v>45748</v>
      </c>
      <c r="AO137" s="112"/>
      <c r="AP137" s="112"/>
      <c r="AQ137" s="112"/>
      <c r="AR137" s="112"/>
      <c r="AS137" s="112"/>
      <c r="AU137" s="116">
        <f t="shared" si="142"/>
        <v>0</v>
      </c>
      <c r="AV137" s="78">
        <v>45748</v>
      </c>
      <c r="AW137" s="112"/>
      <c r="AX137" s="112"/>
      <c r="AY137" s="112"/>
      <c r="AZ137" s="112"/>
      <c r="BA137" s="112"/>
      <c r="BC137" s="116">
        <f t="shared" si="143"/>
        <v>0</v>
      </c>
      <c r="BD137" s="78">
        <v>45748</v>
      </c>
      <c r="BE137" s="112"/>
      <c r="BF137" s="112"/>
      <c r="BG137" s="112"/>
      <c r="BH137" s="112"/>
      <c r="BI137" s="112"/>
      <c r="BK137" s="116">
        <f t="shared" si="144"/>
        <v>0</v>
      </c>
      <c r="BL137" s="78">
        <v>45748</v>
      </c>
      <c r="BM137" s="112"/>
      <c r="BN137" s="112"/>
      <c r="BO137" s="112"/>
      <c r="BP137" s="112"/>
      <c r="BQ137" s="112"/>
      <c r="BS137" s="116">
        <f t="shared" si="145"/>
        <v>0</v>
      </c>
      <c r="BT137" s="78">
        <v>45748</v>
      </c>
      <c r="BU137" s="112"/>
      <c r="BV137" s="112"/>
      <c r="BW137" s="112"/>
      <c r="BX137" s="112"/>
      <c r="BY137" s="112"/>
      <c r="CA137" s="116">
        <f t="shared" si="146"/>
        <v>0</v>
      </c>
      <c r="CB137" s="78">
        <v>45748</v>
      </c>
      <c r="CC137" s="112"/>
      <c r="CD137" s="112"/>
      <c r="CE137" s="112"/>
      <c r="CF137" s="112"/>
      <c r="CG137" s="112"/>
      <c r="CI137" s="116">
        <f t="shared" si="147"/>
        <v>0</v>
      </c>
      <c r="CJ137" s="78">
        <v>45748</v>
      </c>
      <c r="CK137" s="112"/>
      <c r="CL137" s="112"/>
      <c r="CM137" s="112"/>
      <c r="CN137" s="112"/>
      <c r="CO137" s="112"/>
      <c r="CQ137" s="116">
        <f t="shared" si="148"/>
        <v>0</v>
      </c>
      <c r="CR137" s="78">
        <v>45748</v>
      </c>
      <c r="CS137" s="112"/>
      <c r="CT137" s="112"/>
      <c r="CU137" s="112"/>
      <c r="CV137" s="112"/>
      <c r="CW137" s="112"/>
    </row>
    <row r="138" spans="15:101">
      <c r="O138" s="116">
        <f t="shared" si="138"/>
        <v>0</v>
      </c>
      <c r="P138" s="78">
        <v>45778</v>
      </c>
      <c r="Q138" s="80"/>
      <c r="R138" s="80"/>
      <c r="S138" s="80"/>
      <c r="T138" s="80"/>
      <c r="U138" s="80"/>
      <c r="V138" s="86"/>
      <c r="W138" s="116">
        <f t="shared" si="139"/>
        <v>0</v>
      </c>
      <c r="X138" s="78">
        <v>45778</v>
      </c>
      <c r="Y138" s="112"/>
      <c r="Z138" s="112"/>
      <c r="AA138" s="112"/>
      <c r="AB138" s="112"/>
      <c r="AC138" s="112"/>
      <c r="AE138" s="116">
        <f t="shared" si="140"/>
        <v>0</v>
      </c>
      <c r="AF138" s="78">
        <v>45778</v>
      </c>
      <c r="AG138" s="112"/>
      <c r="AH138" s="112"/>
      <c r="AI138" s="112"/>
      <c r="AJ138" s="112"/>
      <c r="AK138" s="112"/>
      <c r="AM138" s="116">
        <f t="shared" si="141"/>
        <v>0</v>
      </c>
      <c r="AN138" s="78">
        <v>45778</v>
      </c>
      <c r="AO138" s="112"/>
      <c r="AP138" s="112"/>
      <c r="AQ138" s="112"/>
      <c r="AR138" s="112"/>
      <c r="AS138" s="112"/>
      <c r="AU138" s="116">
        <f t="shared" si="142"/>
        <v>0</v>
      </c>
      <c r="AV138" s="78">
        <v>45778</v>
      </c>
      <c r="AW138" s="112"/>
      <c r="AX138" s="112"/>
      <c r="AY138" s="112"/>
      <c r="AZ138" s="112"/>
      <c r="BA138" s="112"/>
      <c r="BC138" s="116">
        <f t="shared" si="143"/>
        <v>0</v>
      </c>
      <c r="BD138" s="78">
        <v>45778</v>
      </c>
      <c r="BE138" s="112"/>
      <c r="BF138" s="112"/>
      <c r="BG138" s="112"/>
      <c r="BH138" s="112"/>
      <c r="BI138" s="112"/>
      <c r="BK138" s="116">
        <f t="shared" si="144"/>
        <v>0</v>
      </c>
      <c r="BL138" s="78">
        <v>45778</v>
      </c>
      <c r="BM138" s="112"/>
      <c r="BN138" s="112"/>
      <c r="BO138" s="112"/>
      <c r="BP138" s="112"/>
      <c r="BQ138" s="112"/>
      <c r="BS138" s="116">
        <f t="shared" si="145"/>
        <v>0</v>
      </c>
      <c r="BT138" s="78">
        <v>45778</v>
      </c>
      <c r="BU138" s="112"/>
      <c r="BV138" s="112"/>
      <c r="BW138" s="112"/>
      <c r="BX138" s="112"/>
      <c r="BY138" s="112"/>
      <c r="CA138" s="116">
        <f t="shared" si="146"/>
        <v>0</v>
      </c>
      <c r="CB138" s="78">
        <v>45778</v>
      </c>
      <c r="CC138" s="112"/>
      <c r="CD138" s="112"/>
      <c r="CE138" s="112"/>
      <c r="CF138" s="112"/>
      <c r="CG138" s="112"/>
      <c r="CI138" s="116">
        <f t="shared" si="147"/>
        <v>0</v>
      </c>
      <c r="CJ138" s="78">
        <v>45778</v>
      </c>
      <c r="CK138" s="112"/>
      <c r="CL138" s="112"/>
      <c r="CM138" s="112"/>
      <c r="CN138" s="112"/>
      <c r="CO138" s="112"/>
      <c r="CQ138" s="116">
        <f t="shared" si="148"/>
        <v>0</v>
      </c>
      <c r="CR138" s="78">
        <v>45778</v>
      </c>
      <c r="CS138" s="112"/>
      <c r="CT138" s="112"/>
      <c r="CU138" s="112"/>
      <c r="CV138" s="112"/>
      <c r="CW138" s="112"/>
    </row>
    <row r="139" spans="15:101">
      <c r="O139" s="116">
        <f t="shared" si="138"/>
        <v>0</v>
      </c>
      <c r="P139" s="78">
        <v>45809</v>
      </c>
      <c r="Q139" s="80"/>
      <c r="R139" s="80"/>
      <c r="S139" s="80"/>
      <c r="T139" s="80"/>
      <c r="U139" s="80"/>
      <c r="V139" s="86"/>
      <c r="W139" s="116">
        <f t="shared" si="139"/>
        <v>0</v>
      </c>
      <c r="X139" s="78">
        <v>45809</v>
      </c>
      <c r="Y139" s="112"/>
      <c r="Z139" s="112"/>
      <c r="AA139" s="112"/>
      <c r="AB139" s="112"/>
      <c r="AC139" s="112"/>
      <c r="AE139" s="116">
        <f t="shared" si="140"/>
        <v>0</v>
      </c>
      <c r="AF139" s="78">
        <v>45809</v>
      </c>
      <c r="AG139" s="112"/>
      <c r="AH139" s="112"/>
      <c r="AI139" s="112"/>
      <c r="AJ139" s="112"/>
      <c r="AK139" s="112"/>
      <c r="AM139" s="116">
        <f t="shared" si="141"/>
        <v>0</v>
      </c>
      <c r="AN139" s="78">
        <v>45809</v>
      </c>
      <c r="AO139" s="112"/>
      <c r="AP139" s="112"/>
      <c r="AQ139" s="112"/>
      <c r="AR139" s="112"/>
      <c r="AS139" s="112"/>
      <c r="AU139" s="116">
        <f t="shared" si="142"/>
        <v>0</v>
      </c>
      <c r="AV139" s="78">
        <v>45809</v>
      </c>
      <c r="AW139" s="112"/>
      <c r="AX139" s="112"/>
      <c r="AY139" s="112"/>
      <c r="AZ139" s="112"/>
      <c r="BA139" s="112"/>
      <c r="BC139" s="116">
        <f t="shared" si="143"/>
        <v>0</v>
      </c>
      <c r="BD139" s="78">
        <v>45809</v>
      </c>
      <c r="BE139" s="112"/>
      <c r="BF139" s="112"/>
      <c r="BG139" s="112"/>
      <c r="BH139" s="112"/>
      <c r="BI139" s="112"/>
      <c r="BK139" s="116">
        <f t="shared" si="144"/>
        <v>0</v>
      </c>
      <c r="BL139" s="78">
        <v>45809</v>
      </c>
      <c r="BM139" s="112"/>
      <c r="BN139" s="112"/>
      <c r="BO139" s="112"/>
      <c r="BP139" s="112"/>
      <c r="BQ139" s="112"/>
      <c r="BS139" s="116">
        <f t="shared" si="145"/>
        <v>0</v>
      </c>
      <c r="BT139" s="78">
        <v>45809</v>
      </c>
      <c r="BU139" s="112"/>
      <c r="BV139" s="112"/>
      <c r="BW139" s="112"/>
      <c r="BX139" s="112"/>
      <c r="BY139" s="112"/>
      <c r="CA139" s="116">
        <f t="shared" si="146"/>
        <v>0</v>
      </c>
      <c r="CB139" s="78">
        <v>45809</v>
      </c>
      <c r="CC139" s="112"/>
      <c r="CD139" s="112"/>
      <c r="CE139" s="112"/>
      <c r="CF139" s="112"/>
      <c r="CG139" s="112"/>
      <c r="CI139" s="116">
        <f t="shared" si="147"/>
        <v>0</v>
      </c>
      <c r="CJ139" s="78">
        <v>45809</v>
      </c>
      <c r="CK139" s="112"/>
      <c r="CL139" s="112"/>
      <c r="CM139" s="112"/>
      <c r="CN139" s="112"/>
      <c r="CO139" s="112"/>
      <c r="CQ139" s="116">
        <f t="shared" si="148"/>
        <v>0</v>
      </c>
      <c r="CR139" s="78">
        <v>45809</v>
      </c>
      <c r="CS139" s="112"/>
      <c r="CT139" s="112"/>
      <c r="CU139" s="112"/>
      <c r="CV139" s="112"/>
      <c r="CW139" s="112"/>
    </row>
    <row r="140" spans="15:101">
      <c r="O140" s="116">
        <f t="shared" si="138"/>
        <v>0</v>
      </c>
      <c r="P140" s="78">
        <v>45839</v>
      </c>
      <c r="Q140" s="80"/>
      <c r="R140" s="80"/>
      <c r="S140" s="80"/>
      <c r="T140" s="80"/>
      <c r="U140" s="80"/>
      <c r="V140" s="86"/>
      <c r="W140" s="116">
        <f t="shared" si="139"/>
        <v>0</v>
      </c>
      <c r="X140" s="78">
        <v>45839</v>
      </c>
      <c r="Y140" s="112"/>
      <c r="Z140" s="112"/>
      <c r="AA140" s="112"/>
      <c r="AB140" s="112"/>
      <c r="AC140" s="112"/>
      <c r="AE140" s="116">
        <f t="shared" si="140"/>
        <v>0</v>
      </c>
      <c r="AF140" s="78">
        <v>45839</v>
      </c>
      <c r="AG140" s="112"/>
      <c r="AH140" s="112"/>
      <c r="AI140" s="112"/>
      <c r="AJ140" s="112"/>
      <c r="AK140" s="112"/>
      <c r="AM140" s="116">
        <f t="shared" si="141"/>
        <v>0</v>
      </c>
      <c r="AN140" s="78">
        <v>45839</v>
      </c>
      <c r="AO140" s="112"/>
      <c r="AP140" s="112"/>
      <c r="AQ140" s="112"/>
      <c r="AR140" s="112"/>
      <c r="AS140" s="112"/>
      <c r="AU140" s="116">
        <f t="shared" si="142"/>
        <v>0</v>
      </c>
      <c r="AV140" s="78">
        <v>45839</v>
      </c>
      <c r="AW140" s="112"/>
      <c r="AX140" s="112"/>
      <c r="AY140" s="112"/>
      <c r="AZ140" s="112"/>
      <c r="BA140" s="112"/>
      <c r="BC140" s="116">
        <f t="shared" si="143"/>
        <v>0</v>
      </c>
      <c r="BD140" s="78">
        <v>45839</v>
      </c>
      <c r="BE140" s="112"/>
      <c r="BF140" s="112"/>
      <c r="BG140" s="112"/>
      <c r="BH140" s="112"/>
      <c r="BI140" s="112"/>
      <c r="BK140" s="116">
        <f t="shared" si="144"/>
        <v>0</v>
      </c>
      <c r="BL140" s="78">
        <v>45839</v>
      </c>
      <c r="BM140" s="112"/>
      <c r="BN140" s="112"/>
      <c r="BO140" s="112"/>
      <c r="BP140" s="112"/>
      <c r="BQ140" s="112"/>
      <c r="BS140" s="116">
        <f t="shared" si="145"/>
        <v>0</v>
      </c>
      <c r="BT140" s="78">
        <v>45839</v>
      </c>
      <c r="BU140" s="112"/>
      <c r="BV140" s="112"/>
      <c r="BW140" s="112"/>
      <c r="BX140" s="112"/>
      <c r="BY140" s="112"/>
      <c r="CA140" s="116">
        <f t="shared" si="146"/>
        <v>0</v>
      </c>
      <c r="CB140" s="78">
        <v>45839</v>
      </c>
      <c r="CC140" s="112"/>
      <c r="CD140" s="112"/>
      <c r="CE140" s="112"/>
      <c r="CF140" s="112"/>
      <c r="CG140" s="112"/>
      <c r="CI140" s="116">
        <f t="shared" si="147"/>
        <v>0</v>
      </c>
      <c r="CJ140" s="78">
        <v>45839</v>
      </c>
      <c r="CK140" s="112"/>
      <c r="CL140" s="112"/>
      <c r="CM140" s="112"/>
      <c r="CN140" s="112"/>
      <c r="CO140" s="112"/>
      <c r="CQ140" s="116">
        <f t="shared" si="148"/>
        <v>0</v>
      </c>
      <c r="CR140" s="78">
        <v>45839</v>
      </c>
      <c r="CS140" s="112"/>
      <c r="CT140" s="112"/>
      <c r="CU140" s="112"/>
      <c r="CV140" s="112"/>
      <c r="CW140" s="112"/>
    </row>
    <row r="141" spans="15:101">
      <c r="O141" s="116">
        <f t="shared" si="138"/>
        <v>0</v>
      </c>
      <c r="P141" s="78">
        <v>45870</v>
      </c>
      <c r="Q141" s="80"/>
      <c r="R141" s="80"/>
      <c r="S141" s="80"/>
      <c r="T141" s="80"/>
      <c r="U141" s="80"/>
      <c r="V141" s="86"/>
      <c r="W141" s="116">
        <f t="shared" si="139"/>
        <v>0</v>
      </c>
      <c r="X141" s="78">
        <v>45870</v>
      </c>
      <c r="Y141" s="112"/>
      <c r="Z141" s="112"/>
      <c r="AA141" s="112"/>
      <c r="AB141" s="112"/>
      <c r="AC141" s="112"/>
      <c r="AE141" s="116">
        <f t="shared" si="140"/>
        <v>0</v>
      </c>
      <c r="AF141" s="78">
        <v>45870</v>
      </c>
      <c r="AG141" s="112"/>
      <c r="AH141" s="112"/>
      <c r="AI141" s="112"/>
      <c r="AJ141" s="112"/>
      <c r="AK141" s="112"/>
      <c r="AM141" s="116">
        <f t="shared" si="141"/>
        <v>0</v>
      </c>
      <c r="AN141" s="78">
        <v>45870</v>
      </c>
      <c r="AO141" s="112"/>
      <c r="AP141" s="112"/>
      <c r="AQ141" s="112"/>
      <c r="AR141" s="112"/>
      <c r="AS141" s="112"/>
      <c r="AU141" s="116">
        <f t="shared" si="142"/>
        <v>0</v>
      </c>
      <c r="AV141" s="78">
        <v>45870</v>
      </c>
      <c r="AW141" s="112"/>
      <c r="AX141" s="112"/>
      <c r="AY141" s="112"/>
      <c r="AZ141" s="112"/>
      <c r="BA141" s="112"/>
      <c r="BC141" s="116">
        <f t="shared" si="143"/>
        <v>0</v>
      </c>
      <c r="BD141" s="78">
        <v>45870</v>
      </c>
      <c r="BE141" s="112"/>
      <c r="BF141" s="112"/>
      <c r="BG141" s="112"/>
      <c r="BH141" s="112"/>
      <c r="BI141" s="112"/>
      <c r="BK141" s="116">
        <f t="shared" si="144"/>
        <v>0</v>
      </c>
      <c r="BL141" s="78">
        <v>45870</v>
      </c>
      <c r="BM141" s="112"/>
      <c r="BN141" s="112"/>
      <c r="BO141" s="112"/>
      <c r="BP141" s="112"/>
      <c r="BQ141" s="112"/>
      <c r="BS141" s="116">
        <f t="shared" si="145"/>
        <v>0</v>
      </c>
      <c r="BT141" s="78">
        <v>45870</v>
      </c>
      <c r="BU141" s="112"/>
      <c r="BV141" s="112"/>
      <c r="BW141" s="112"/>
      <c r="BX141" s="112"/>
      <c r="BY141" s="112"/>
      <c r="CA141" s="116">
        <f t="shared" si="146"/>
        <v>0</v>
      </c>
      <c r="CB141" s="78">
        <v>45870</v>
      </c>
      <c r="CC141" s="112"/>
      <c r="CD141" s="112"/>
      <c r="CE141" s="112"/>
      <c r="CF141" s="112"/>
      <c r="CG141" s="112"/>
      <c r="CI141" s="116">
        <f t="shared" si="147"/>
        <v>0</v>
      </c>
      <c r="CJ141" s="78">
        <v>45870</v>
      </c>
      <c r="CK141" s="112"/>
      <c r="CL141" s="112"/>
      <c r="CM141" s="112"/>
      <c r="CN141" s="112"/>
      <c r="CO141" s="112"/>
      <c r="CQ141" s="116">
        <f t="shared" si="148"/>
        <v>0</v>
      </c>
      <c r="CR141" s="78">
        <v>45870</v>
      </c>
      <c r="CS141" s="112"/>
      <c r="CT141" s="112"/>
      <c r="CU141" s="112"/>
      <c r="CV141" s="112"/>
      <c r="CW141" s="112"/>
    </row>
    <row r="142" spans="15:101">
      <c r="O142" s="116">
        <f t="shared" si="138"/>
        <v>0</v>
      </c>
      <c r="P142" s="78">
        <v>45901</v>
      </c>
      <c r="Q142" s="80"/>
      <c r="R142" s="80"/>
      <c r="S142" s="80"/>
      <c r="T142" s="80"/>
      <c r="U142" s="80"/>
      <c r="V142" s="86"/>
      <c r="W142" s="116">
        <f t="shared" si="139"/>
        <v>0</v>
      </c>
      <c r="X142" s="78">
        <v>45901</v>
      </c>
      <c r="Y142" s="112"/>
      <c r="Z142" s="112"/>
      <c r="AA142" s="112"/>
      <c r="AB142" s="112"/>
      <c r="AC142" s="112"/>
      <c r="AE142" s="116">
        <f t="shared" si="140"/>
        <v>0</v>
      </c>
      <c r="AF142" s="78">
        <v>45901</v>
      </c>
      <c r="AG142" s="112"/>
      <c r="AH142" s="112"/>
      <c r="AI142" s="112"/>
      <c r="AJ142" s="112"/>
      <c r="AK142" s="112"/>
      <c r="AM142" s="116">
        <f t="shared" si="141"/>
        <v>0</v>
      </c>
      <c r="AN142" s="78">
        <v>45901</v>
      </c>
      <c r="AO142" s="112"/>
      <c r="AP142" s="112"/>
      <c r="AQ142" s="112"/>
      <c r="AR142" s="112"/>
      <c r="AS142" s="112"/>
      <c r="AU142" s="116">
        <f t="shared" si="142"/>
        <v>0</v>
      </c>
      <c r="AV142" s="78">
        <v>45901</v>
      </c>
      <c r="AW142" s="112"/>
      <c r="AX142" s="112"/>
      <c r="AY142" s="112"/>
      <c r="AZ142" s="112"/>
      <c r="BA142" s="112"/>
      <c r="BC142" s="116">
        <f t="shared" si="143"/>
        <v>0</v>
      </c>
      <c r="BD142" s="78">
        <v>45901</v>
      </c>
      <c r="BE142" s="112"/>
      <c r="BF142" s="112"/>
      <c r="BG142" s="112"/>
      <c r="BH142" s="112"/>
      <c r="BI142" s="112"/>
      <c r="BK142" s="116">
        <f t="shared" si="144"/>
        <v>0</v>
      </c>
      <c r="BL142" s="78">
        <v>45901</v>
      </c>
      <c r="BM142" s="112"/>
      <c r="BN142" s="112"/>
      <c r="BO142" s="112"/>
      <c r="BP142" s="112"/>
      <c r="BQ142" s="112"/>
      <c r="BS142" s="116">
        <f t="shared" si="145"/>
        <v>0</v>
      </c>
      <c r="BT142" s="78">
        <v>45901</v>
      </c>
      <c r="BU142" s="112"/>
      <c r="BV142" s="112"/>
      <c r="BW142" s="112"/>
      <c r="BX142" s="112"/>
      <c r="BY142" s="112"/>
      <c r="CA142" s="116">
        <f t="shared" si="146"/>
        <v>0</v>
      </c>
      <c r="CB142" s="78">
        <v>45901</v>
      </c>
      <c r="CC142" s="112"/>
      <c r="CD142" s="112"/>
      <c r="CE142" s="112"/>
      <c r="CF142" s="112"/>
      <c r="CG142" s="112"/>
      <c r="CI142" s="116">
        <f t="shared" si="147"/>
        <v>0</v>
      </c>
      <c r="CJ142" s="78">
        <v>45901</v>
      </c>
      <c r="CK142" s="112"/>
      <c r="CL142" s="112"/>
      <c r="CM142" s="112"/>
      <c r="CN142" s="112"/>
      <c r="CO142" s="112"/>
      <c r="CQ142" s="116">
        <f t="shared" si="148"/>
        <v>0</v>
      </c>
      <c r="CR142" s="78">
        <v>45901</v>
      </c>
      <c r="CS142" s="112"/>
      <c r="CT142" s="112"/>
      <c r="CU142" s="112"/>
      <c r="CV142" s="112"/>
      <c r="CW142" s="112"/>
    </row>
    <row r="143" spans="15:101">
      <c r="O143" s="116">
        <f t="shared" si="138"/>
        <v>0</v>
      </c>
      <c r="P143" s="78">
        <v>45931</v>
      </c>
      <c r="Q143" s="80"/>
      <c r="R143" s="80"/>
      <c r="S143" s="80"/>
      <c r="T143" s="80"/>
      <c r="U143" s="80"/>
      <c r="V143" s="86"/>
      <c r="W143" s="116">
        <f t="shared" si="139"/>
        <v>0</v>
      </c>
      <c r="X143" s="78">
        <v>45931</v>
      </c>
      <c r="Y143" s="112"/>
      <c r="Z143" s="112"/>
      <c r="AA143" s="112"/>
      <c r="AB143" s="112"/>
      <c r="AC143" s="112"/>
      <c r="AE143" s="116">
        <f t="shared" si="140"/>
        <v>0</v>
      </c>
      <c r="AF143" s="78">
        <v>45931</v>
      </c>
      <c r="AG143" s="112"/>
      <c r="AH143" s="112"/>
      <c r="AI143" s="112"/>
      <c r="AJ143" s="112"/>
      <c r="AK143" s="112"/>
      <c r="AM143" s="116">
        <f t="shared" si="141"/>
        <v>0</v>
      </c>
      <c r="AN143" s="78">
        <v>45931</v>
      </c>
      <c r="AO143" s="112"/>
      <c r="AP143" s="112"/>
      <c r="AQ143" s="112"/>
      <c r="AR143" s="112"/>
      <c r="AS143" s="112"/>
      <c r="AU143" s="116">
        <f t="shared" si="142"/>
        <v>0</v>
      </c>
      <c r="AV143" s="78">
        <v>45931</v>
      </c>
      <c r="AW143" s="112"/>
      <c r="AX143" s="112"/>
      <c r="AY143" s="112"/>
      <c r="AZ143" s="112"/>
      <c r="BA143" s="112"/>
      <c r="BC143" s="116">
        <f t="shared" si="143"/>
        <v>0</v>
      </c>
      <c r="BD143" s="78">
        <v>45931</v>
      </c>
      <c r="BE143" s="112"/>
      <c r="BF143" s="112"/>
      <c r="BG143" s="112"/>
      <c r="BH143" s="112"/>
      <c r="BI143" s="112"/>
      <c r="BK143" s="116">
        <f t="shared" si="144"/>
        <v>0</v>
      </c>
      <c r="BL143" s="78">
        <v>45931</v>
      </c>
      <c r="BM143" s="112"/>
      <c r="BN143" s="112"/>
      <c r="BO143" s="112"/>
      <c r="BP143" s="112"/>
      <c r="BQ143" s="112"/>
      <c r="BS143" s="116">
        <f t="shared" si="145"/>
        <v>0</v>
      </c>
      <c r="BT143" s="78">
        <v>45931</v>
      </c>
      <c r="BU143" s="112"/>
      <c r="BV143" s="112"/>
      <c r="BW143" s="112"/>
      <c r="BX143" s="112"/>
      <c r="BY143" s="112"/>
      <c r="CA143" s="116">
        <f t="shared" si="146"/>
        <v>0</v>
      </c>
      <c r="CB143" s="78">
        <v>45931</v>
      </c>
      <c r="CC143" s="112"/>
      <c r="CD143" s="112"/>
      <c r="CE143" s="112"/>
      <c r="CF143" s="112"/>
      <c r="CG143" s="112"/>
      <c r="CI143" s="116">
        <f t="shared" si="147"/>
        <v>0</v>
      </c>
      <c r="CJ143" s="78">
        <v>45931</v>
      </c>
      <c r="CK143" s="112"/>
      <c r="CL143" s="112"/>
      <c r="CM143" s="112"/>
      <c r="CN143" s="112"/>
      <c r="CO143" s="112"/>
      <c r="CQ143" s="116">
        <f t="shared" si="148"/>
        <v>0</v>
      </c>
      <c r="CR143" s="78">
        <v>45931</v>
      </c>
      <c r="CS143" s="112"/>
      <c r="CT143" s="112"/>
      <c r="CU143" s="112"/>
      <c r="CV143" s="112"/>
      <c r="CW143" s="112"/>
    </row>
    <row r="144" spans="15:101">
      <c r="O144" s="116">
        <f t="shared" si="138"/>
        <v>0</v>
      </c>
      <c r="P144" s="78">
        <v>45962</v>
      </c>
      <c r="Q144" s="80"/>
      <c r="R144" s="80"/>
      <c r="S144" s="80"/>
      <c r="T144" s="80"/>
      <c r="U144" s="80"/>
      <c r="V144" s="86"/>
      <c r="W144" s="116">
        <f t="shared" si="139"/>
        <v>0</v>
      </c>
      <c r="X144" s="78">
        <v>45962</v>
      </c>
      <c r="Y144" s="112"/>
      <c r="Z144" s="112"/>
      <c r="AA144" s="112"/>
      <c r="AB144" s="112"/>
      <c r="AC144" s="112"/>
      <c r="AE144" s="116">
        <f t="shared" si="140"/>
        <v>0</v>
      </c>
      <c r="AF144" s="78">
        <v>45962</v>
      </c>
      <c r="AG144" s="112"/>
      <c r="AH144" s="112"/>
      <c r="AI144" s="112"/>
      <c r="AJ144" s="112"/>
      <c r="AK144" s="112"/>
      <c r="AM144" s="116">
        <f t="shared" si="141"/>
        <v>0</v>
      </c>
      <c r="AN144" s="78">
        <v>45962</v>
      </c>
      <c r="AO144" s="112"/>
      <c r="AP144" s="112"/>
      <c r="AQ144" s="112"/>
      <c r="AR144" s="112"/>
      <c r="AS144" s="112"/>
      <c r="AU144" s="116">
        <f t="shared" si="142"/>
        <v>0</v>
      </c>
      <c r="AV144" s="78">
        <v>45962</v>
      </c>
      <c r="AW144" s="112"/>
      <c r="AX144" s="112"/>
      <c r="AY144" s="112"/>
      <c r="AZ144" s="112"/>
      <c r="BA144" s="112"/>
      <c r="BC144" s="116">
        <f t="shared" si="143"/>
        <v>0</v>
      </c>
      <c r="BD144" s="78">
        <v>45962</v>
      </c>
      <c r="BE144" s="112"/>
      <c r="BF144" s="112"/>
      <c r="BG144" s="112"/>
      <c r="BH144" s="112"/>
      <c r="BI144" s="112"/>
      <c r="BK144" s="116">
        <f t="shared" si="144"/>
        <v>0</v>
      </c>
      <c r="BL144" s="78">
        <v>45962</v>
      </c>
      <c r="BM144" s="112"/>
      <c r="BN144" s="112"/>
      <c r="BO144" s="112"/>
      <c r="BP144" s="112"/>
      <c r="BQ144" s="112"/>
      <c r="BS144" s="116">
        <f t="shared" si="145"/>
        <v>0</v>
      </c>
      <c r="BT144" s="78">
        <v>45962</v>
      </c>
      <c r="BU144" s="112"/>
      <c r="BV144" s="112"/>
      <c r="BW144" s="112"/>
      <c r="BX144" s="112"/>
      <c r="BY144" s="112"/>
      <c r="CA144" s="116">
        <f t="shared" si="146"/>
        <v>0</v>
      </c>
      <c r="CB144" s="78">
        <v>45962</v>
      </c>
      <c r="CC144" s="112"/>
      <c r="CD144" s="112"/>
      <c r="CE144" s="112"/>
      <c r="CF144" s="112"/>
      <c r="CG144" s="112"/>
      <c r="CI144" s="116">
        <f t="shared" si="147"/>
        <v>0</v>
      </c>
      <c r="CJ144" s="78">
        <v>45962</v>
      </c>
      <c r="CK144" s="112"/>
      <c r="CL144" s="112"/>
      <c r="CM144" s="112"/>
      <c r="CN144" s="112"/>
      <c r="CO144" s="112"/>
      <c r="CQ144" s="116">
        <f t="shared" si="148"/>
        <v>0</v>
      </c>
      <c r="CR144" s="78">
        <v>45962</v>
      </c>
      <c r="CS144" s="112"/>
      <c r="CT144" s="112"/>
      <c r="CU144" s="112"/>
      <c r="CV144" s="112"/>
      <c r="CW144" s="112"/>
    </row>
    <row r="145" spans="15:101">
      <c r="O145" s="116">
        <f t="shared" si="138"/>
        <v>0</v>
      </c>
      <c r="P145" s="83">
        <v>45992</v>
      </c>
      <c r="Q145" s="84"/>
      <c r="R145" s="84"/>
      <c r="S145" s="84"/>
      <c r="T145" s="84"/>
      <c r="U145" s="84"/>
      <c r="V145" s="86"/>
      <c r="W145" s="116">
        <f t="shared" si="139"/>
        <v>0</v>
      </c>
      <c r="X145" s="83">
        <v>45992</v>
      </c>
      <c r="Y145" s="113"/>
      <c r="Z145" s="113"/>
      <c r="AA145" s="113"/>
      <c r="AB145" s="113"/>
      <c r="AC145" s="113"/>
      <c r="AE145" s="116">
        <f t="shared" si="140"/>
        <v>0</v>
      </c>
      <c r="AF145" s="83">
        <v>45992</v>
      </c>
      <c r="AG145" s="113"/>
      <c r="AH145" s="113"/>
      <c r="AI145" s="113"/>
      <c r="AJ145" s="113"/>
      <c r="AK145" s="113"/>
      <c r="AM145" s="116">
        <f t="shared" si="141"/>
        <v>0</v>
      </c>
      <c r="AN145" s="83">
        <v>45992</v>
      </c>
      <c r="AO145" s="113"/>
      <c r="AP145" s="113"/>
      <c r="AQ145" s="113"/>
      <c r="AR145" s="113"/>
      <c r="AS145" s="113"/>
      <c r="AU145" s="116">
        <f t="shared" si="142"/>
        <v>0</v>
      </c>
      <c r="AV145" s="83">
        <v>45992</v>
      </c>
      <c r="AW145" s="113"/>
      <c r="AX145" s="113"/>
      <c r="AY145" s="113"/>
      <c r="AZ145" s="113"/>
      <c r="BA145" s="113"/>
      <c r="BC145" s="116">
        <f t="shared" si="143"/>
        <v>0</v>
      </c>
      <c r="BD145" s="83">
        <v>45992</v>
      </c>
      <c r="BE145" s="113"/>
      <c r="BF145" s="113"/>
      <c r="BG145" s="113"/>
      <c r="BH145" s="113"/>
      <c r="BI145" s="113"/>
      <c r="BK145" s="116">
        <f t="shared" si="144"/>
        <v>0</v>
      </c>
      <c r="BL145" s="83">
        <v>45992</v>
      </c>
      <c r="BM145" s="113"/>
      <c r="BN145" s="113"/>
      <c r="BO145" s="113"/>
      <c r="BP145" s="113"/>
      <c r="BQ145" s="113"/>
      <c r="BS145" s="116">
        <f t="shared" si="145"/>
        <v>0</v>
      </c>
      <c r="BT145" s="83">
        <v>45992</v>
      </c>
      <c r="BU145" s="113"/>
      <c r="BV145" s="113"/>
      <c r="BW145" s="113"/>
      <c r="BX145" s="113"/>
      <c r="BY145" s="113"/>
      <c r="CA145" s="116">
        <f t="shared" si="146"/>
        <v>0</v>
      </c>
      <c r="CB145" s="83">
        <v>45992</v>
      </c>
      <c r="CC145" s="113"/>
      <c r="CD145" s="113"/>
      <c r="CE145" s="113"/>
      <c r="CF145" s="113"/>
      <c r="CG145" s="113"/>
      <c r="CI145" s="116">
        <f t="shared" si="147"/>
        <v>0</v>
      </c>
      <c r="CJ145" s="83">
        <v>45992</v>
      </c>
      <c r="CK145" s="113"/>
      <c r="CL145" s="113"/>
      <c r="CM145" s="113"/>
      <c r="CN145" s="113"/>
      <c r="CO145" s="113"/>
      <c r="CQ145" s="116">
        <f t="shared" si="148"/>
        <v>0</v>
      </c>
      <c r="CR145" s="83">
        <v>45992</v>
      </c>
      <c r="CS145" s="113"/>
      <c r="CT145" s="113"/>
      <c r="CU145" s="113"/>
      <c r="CV145" s="113"/>
      <c r="CW145" s="113"/>
    </row>
    <row r="146" spans="15:101">
      <c r="O146" s="138" t="s">
        <v>20</v>
      </c>
      <c r="P146" s="87">
        <f>P133+1</f>
        <v>2025</v>
      </c>
      <c r="Q146" s="94">
        <f>SUM(Q134:Q145)</f>
        <v>0</v>
      </c>
      <c r="R146" s="94">
        <f>SUM(R134:R145)</f>
        <v>0</v>
      </c>
      <c r="S146" s="94">
        <f>SUM(S134:S145)</f>
        <v>0</v>
      </c>
      <c r="T146" s="94">
        <f>SUM(T134:T145)</f>
        <v>0</v>
      </c>
      <c r="U146" s="94">
        <f>U145</f>
        <v>0</v>
      </c>
      <c r="V146" s="101"/>
      <c r="W146" s="138" t="s">
        <v>20</v>
      </c>
      <c r="X146" s="87">
        <f>X133+1</f>
        <v>2025</v>
      </c>
      <c r="Y146" s="107">
        <f>SUM(Y134:Y145)</f>
        <v>0</v>
      </c>
      <c r="Z146" s="107">
        <f>SUM(Z134:Z145)</f>
        <v>0</v>
      </c>
      <c r="AA146" s="107">
        <f>SUM(AA134:AA145)</f>
        <v>0</v>
      </c>
      <c r="AB146" s="107">
        <f>SUM(AB134:AB145)</f>
        <v>0</v>
      </c>
      <c r="AC146" s="107">
        <f>AC145</f>
        <v>0</v>
      </c>
      <c r="AE146" s="138" t="s">
        <v>20</v>
      </c>
      <c r="AF146" s="87">
        <f>AF133+1</f>
        <v>2025</v>
      </c>
      <c r="AG146" s="107">
        <f>SUM(AG134:AG145)</f>
        <v>0</v>
      </c>
      <c r="AH146" s="107">
        <f>SUM(AH134:AH145)</f>
        <v>0</v>
      </c>
      <c r="AI146" s="107">
        <f>SUM(AI134:AI145)</f>
        <v>0</v>
      </c>
      <c r="AJ146" s="107">
        <f>SUM(AJ134:AJ145)</f>
        <v>0</v>
      </c>
      <c r="AK146" s="107">
        <f>AK145</f>
        <v>0</v>
      </c>
      <c r="AM146" s="138" t="s">
        <v>20</v>
      </c>
      <c r="AN146" s="87">
        <f>AN133+1</f>
        <v>2025</v>
      </c>
      <c r="AO146" s="107">
        <f>SUM(AO134:AO145)</f>
        <v>0</v>
      </c>
      <c r="AP146" s="107">
        <f>SUM(AP134:AP145)</f>
        <v>0</v>
      </c>
      <c r="AQ146" s="107">
        <f>SUM(AQ134:AQ145)</f>
        <v>0</v>
      </c>
      <c r="AR146" s="107">
        <f>SUM(AR134:AR145)</f>
        <v>0</v>
      </c>
      <c r="AS146" s="107">
        <f>AS145</f>
        <v>0</v>
      </c>
      <c r="AU146" s="138" t="s">
        <v>20</v>
      </c>
      <c r="AV146" s="87">
        <f>AV133+1</f>
        <v>2025</v>
      </c>
      <c r="AW146" s="107">
        <f>SUM(AW134:AW145)</f>
        <v>0</v>
      </c>
      <c r="AX146" s="107">
        <f>SUM(AX134:AX145)</f>
        <v>0</v>
      </c>
      <c r="AY146" s="107">
        <f>SUM(AY134:AY145)</f>
        <v>0</v>
      </c>
      <c r="AZ146" s="107">
        <f>SUM(AZ134:AZ145)</f>
        <v>0</v>
      </c>
      <c r="BA146" s="107">
        <f>BA145</f>
        <v>0</v>
      </c>
      <c r="BC146" s="138" t="s">
        <v>20</v>
      </c>
      <c r="BD146" s="87">
        <f>BD133+1</f>
        <v>2025</v>
      </c>
      <c r="BE146" s="107">
        <f>SUM(BE134:BE145)</f>
        <v>0</v>
      </c>
      <c r="BF146" s="107">
        <f>SUM(BF134:BF145)</f>
        <v>0</v>
      </c>
      <c r="BG146" s="107">
        <f>SUM(BG134:BG145)</f>
        <v>0</v>
      </c>
      <c r="BH146" s="107">
        <f>SUM(BH134:BH145)</f>
        <v>0</v>
      </c>
      <c r="BI146" s="107">
        <f>BI145</f>
        <v>0</v>
      </c>
      <c r="BK146" s="138" t="s">
        <v>20</v>
      </c>
      <c r="BL146" s="87">
        <f>BL133+1</f>
        <v>2025</v>
      </c>
      <c r="BM146" s="107">
        <f>SUM(BM134:BM145)</f>
        <v>0</v>
      </c>
      <c r="BN146" s="107">
        <f>SUM(BN134:BN145)</f>
        <v>0</v>
      </c>
      <c r="BO146" s="107">
        <f>SUM(BO134:BO145)</f>
        <v>0</v>
      </c>
      <c r="BP146" s="107">
        <f>SUM(BP134:BP145)</f>
        <v>0</v>
      </c>
      <c r="BQ146" s="107">
        <f>BQ145</f>
        <v>0</v>
      </c>
      <c r="BS146" s="138" t="s">
        <v>20</v>
      </c>
      <c r="BT146" s="87">
        <f>BT133+1</f>
        <v>2025</v>
      </c>
      <c r="BU146" s="107">
        <f>SUM(BU134:BU145)</f>
        <v>0</v>
      </c>
      <c r="BV146" s="107">
        <f>SUM(BV134:BV145)</f>
        <v>0</v>
      </c>
      <c r="BW146" s="107">
        <f>SUM(BW134:BW145)</f>
        <v>0</v>
      </c>
      <c r="BX146" s="107">
        <f>SUM(BX134:BX145)</f>
        <v>0</v>
      </c>
      <c r="BY146" s="107">
        <f>BY145</f>
        <v>0</v>
      </c>
      <c r="CA146" s="138" t="s">
        <v>20</v>
      </c>
      <c r="CB146" s="87">
        <f>CB133+1</f>
        <v>2025</v>
      </c>
      <c r="CC146" s="107">
        <f>SUM(CC134:CC145)</f>
        <v>0</v>
      </c>
      <c r="CD146" s="107">
        <f>SUM(CD134:CD145)</f>
        <v>0</v>
      </c>
      <c r="CE146" s="107">
        <f>SUM(CE134:CE145)</f>
        <v>0</v>
      </c>
      <c r="CF146" s="107">
        <f>SUM(CF134:CF145)</f>
        <v>0</v>
      </c>
      <c r="CG146" s="107">
        <f>CG145</f>
        <v>0</v>
      </c>
      <c r="CI146" s="138" t="s">
        <v>20</v>
      </c>
      <c r="CJ146" s="87">
        <f>CJ133+1</f>
        <v>2025</v>
      </c>
      <c r="CK146" s="107">
        <f>SUM(CK134:CK145)</f>
        <v>0</v>
      </c>
      <c r="CL146" s="107">
        <f>SUM(CL134:CL145)</f>
        <v>0</v>
      </c>
      <c r="CM146" s="107">
        <f>SUM(CM134:CM145)</f>
        <v>0</v>
      </c>
      <c r="CN146" s="107">
        <f>SUM(CN134:CN145)</f>
        <v>0</v>
      </c>
      <c r="CO146" s="107">
        <f>CO145</f>
        <v>0</v>
      </c>
      <c r="CQ146" s="138" t="s">
        <v>20</v>
      </c>
      <c r="CR146" s="87">
        <f>CR133+1</f>
        <v>2025</v>
      </c>
      <c r="CS146" s="107">
        <f>SUM(CS134:CS145)</f>
        <v>0</v>
      </c>
      <c r="CT146" s="107">
        <f>SUM(CT134:CT145)</f>
        <v>0</v>
      </c>
      <c r="CU146" s="107">
        <f>SUM(CU134:CU145)</f>
        <v>0</v>
      </c>
      <c r="CV146" s="107">
        <f>SUM(CV134:CV145)</f>
        <v>0</v>
      </c>
      <c r="CW146" s="107">
        <f>CW145</f>
        <v>0</v>
      </c>
    </row>
    <row r="147" spans="15:101">
      <c r="O147" s="1764" t="s">
        <v>5</v>
      </c>
      <c r="P147" s="1765"/>
      <c r="Q147" s="94">
        <f>Q16+Q29+Q42+Q55+Q68+Q81+Q94+Q107+Q120+Q133+Q146</f>
        <v>0</v>
      </c>
      <c r="R147" s="94">
        <f>R16+R29+R42+R55+R68+R81+R94+R107+R120+R133+R146</f>
        <v>0</v>
      </c>
      <c r="S147" s="94">
        <f>S16+S29+S42+S55+S68+S81+S94+S107+S120+S133+S146</f>
        <v>0</v>
      </c>
      <c r="T147" s="94">
        <f>T16+T29+T42+T55+T68+T81+T94+T107+T120+T133+T146</f>
        <v>0</v>
      </c>
      <c r="U147" s="96">
        <f>U146</f>
        <v>0</v>
      </c>
      <c r="V147" s="102"/>
      <c r="W147" s="1764" t="s">
        <v>5</v>
      </c>
      <c r="X147" s="1765"/>
      <c r="Y147" s="107">
        <f>Y16+Y29+Y42+Y55+Y68+Y81+Y94+Y107+Y120+Y133+Y146</f>
        <v>0</v>
      </c>
      <c r="Z147" s="107">
        <f>Z16+Z29+Z42+Z55+Z68+Z81+Z94+Z107+Z120+Z133+Z146</f>
        <v>0</v>
      </c>
      <c r="AA147" s="107">
        <f>AA16+AA29+AA42+AA55+AA68+AA81+AA94+AA107+AA120+AA133+AA146</f>
        <v>0</v>
      </c>
      <c r="AB147" s="107">
        <f>AB16+AB29+AB42+AB55+AB68+AB81+AB94+AB107+AB120+AB133+AB146</f>
        <v>0</v>
      </c>
      <c r="AC147" s="107">
        <f>AC146</f>
        <v>0</v>
      </c>
      <c r="AE147" s="1764" t="s">
        <v>5</v>
      </c>
      <c r="AF147" s="1765"/>
      <c r="AG147" s="107">
        <f>AG16+AG29+AG42+AG55+AG68+AG81+AG94+AG107+AG120+AG133+AG146</f>
        <v>0</v>
      </c>
      <c r="AH147" s="107">
        <f>AH16+AH29+AH42+AH55+AH68+AH81+AH94+AH107+AH120+AH133+AH146</f>
        <v>0</v>
      </c>
      <c r="AI147" s="107">
        <f>AI16+AI29+AI42+AI55+AI68+AI81+AI94+AI107+AI120+AI133+AI146</f>
        <v>0</v>
      </c>
      <c r="AJ147" s="107">
        <f>AJ16+AJ29+AJ42+AJ55+AJ68+AJ81+AJ94+AJ107+AJ120+AJ133+AJ146</f>
        <v>0</v>
      </c>
      <c r="AK147" s="107">
        <f>AK146</f>
        <v>0</v>
      </c>
      <c r="AM147" s="1764" t="s">
        <v>5</v>
      </c>
      <c r="AN147" s="1765"/>
      <c r="AO147" s="107">
        <f>AO16+AO29+AO42+AO55+AO68+AO81+AO94+AO107+AO120+AO133+AO146</f>
        <v>0</v>
      </c>
      <c r="AP147" s="107">
        <f>AP16+AP29+AP42+AP55+AP68+AP81+AP94+AP107+AP120+AP133+AP146</f>
        <v>0</v>
      </c>
      <c r="AQ147" s="107">
        <f>AQ16+AQ29+AQ42+AQ55+AQ68+AQ81+AQ94+AQ107+AQ120+AQ133+AQ146</f>
        <v>0</v>
      </c>
      <c r="AR147" s="107">
        <f>AR16+AR29+AR42+AR55+AR68+AR81+AR94+AR107+AR120+AR133+AR146</f>
        <v>0</v>
      </c>
      <c r="AS147" s="107">
        <f>AS146</f>
        <v>0</v>
      </c>
      <c r="AU147" s="1764" t="s">
        <v>5</v>
      </c>
      <c r="AV147" s="1765"/>
      <c r="AW147" s="107">
        <f>AW16+AW29+AW42+AW55+AW68+AW81+AW94+AW107+AW120+AW133+AW146</f>
        <v>0</v>
      </c>
      <c r="AX147" s="107">
        <f>AX16+AX29+AX42+AX55+AX68+AX81+AX94+AX107+AX120+AX133+AX146</f>
        <v>0</v>
      </c>
      <c r="AY147" s="107">
        <f>AY16+AY29+AY42+AY55+AY68+AY81+AY94+AY107+AY120+AY133+AY146</f>
        <v>0</v>
      </c>
      <c r="AZ147" s="107">
        <f>AZ16+AZ29+AZ42+AZ55+AZ68+AZ81+AZ94+AZ107+AZ120+AZ133+AZ146</f>
        <v>0</v>
      </c>
      <c r="BA147" s="107">
        <f>BA146</f>
        <v>0</v>
      </c>
      <c r="BC147" s="1764" t="s">
        <v>5</v>
      </c>
      <c r="BD147" s="1765"/>
      <c r="BE147" s="107">
        <f>BE16+BE29+BE42+BE55+BE68+BE81+BE94+BE107+BE120+BE133+BE146</f>
        <v>0</v>
      </c>
      <c r="BF147" s="107">
        <f>BF16+BF29+BF42+BF55+BF68+BF81+BF94+BF107+BF120+BF133+BF146</f>
        <v>0</v>
      </c>
      <c r="BG147" s="107">
        <f>BG16+BG29+BG42+BG55+BG68+BG81+BG94+BG107+BG120+BG133+BG146</f>
        <v>0</v>
      </c>
      <c r="BH147" s="107">
        <f>BH16+BH29+BH42+BH55+BH68+BH81+BH94+BH107+BH120+BH133+BH146</f>
        <v>0</v>
      </c>
      <c r="BI147" s="107">
        <f>BI146</f>
        <v>0</v>
      </c>
      <c r="BK147" s="1764" t="s">
        <v>5</v>
      </c>
      <c r="BL147" s="1765"/>
      <c r="BM147" s="107">
        <f>BM16+BM29+BM42+BM55+BM68+BM81+BM94+BM107+BM120+BM133+BM146</f>
        <v>0</v>
      </c>
      <c r="BN147" s="107">
        <f>BN16+BN29+BN42+BN55+BN68+BN81+BN94+BN107+BN120+BN133+BN146</f>
        <v>0</v>
      </c>
      <c r="BO147" s="107">
        <f>BO16+BO29+BO42+BO55+BO68+BO81+BO94+BO107+BO120+BO133+BO146</f>
        <v>0</v>
      </c>
      <c r="BP147" s="107">
        <f>BP16+BP29+BP42+BP55+BP68+BP81+BP94+BP107+BP120+BP133+BP146</f>
        <v>0</v>
      </c>
      <c r="BQ147" s="107">
        <f>BQ146</f>
        <v>0</v>
      </c>
      <c r="BS147" s="1764" t="s">
        <v>5</v>
      </c>
      <c r="BT147" s="1765"/>
      <c r="BU147" s="107">
        <f>BU16+BU29+BU42+BU55+BU68+BU81+BU94+BU107+BU120+BU133+BU146</f>
        <v>0</v>
      </c>
      <c r="BV147" s="107">
        <f>BV16+BV29+BV42+BV55+BV68+BV81+BV94+BV107+BV120+BV133+BV146</f>
        <v>0</v>
      </c>
      <c r="BW147" s="107">
        <f>BW16+BW29+BW42+BW55+BW68+BW81+BW94+BW107+BW120+BW133+BW146</f>
        <v>0</v>
      </c>
      <c r="BX147" s="107">
        <f>BX16+BX29+BX42+BX55+BX68+BX81+BX94+BX107+BX120+BX133+BX146</f>
        <v>0</v>
      </c>
      <c r="BY147" s="107">
        <f>BY146</f>
        <v>0</v>
      </c>
      <c r="CA147" s="1764" t="s">
        <v>5</v>
      </c>
      <c r="CB147" s="1765"/>
      <c r="CC147" s="107">
        <f>CC16+CC29+CC42+CC55+CC68+CC81+CC94+CC107+CC120+CC133+CC146</f>
        <v>0</v>
      </c>
      <c r="CD147" s="107">
        <f>CD16+CD29+CD42+CD55+CD68+CD81+CD94+CD107+CD120+CD133+CD146</f>
        <v>0</v>
      </c>
      <c r="CE147" s="107">
        <f>CE16+CE29+CE42+CE55+CE68+CE81+CE94+CE107+CE120+CE133+CE146</f>
        <v>0</v>
      </c>
      <c r="CF147" s="107">
        <f>CF16+CF29+CF42+CF55+CF68+CF81+CF94+CF107+CF120+CF133+CF146</f>
        <v>0</v>
      </c>
      <c r="CG147" s="107">
        <f>CG146</f>
        <v>0</v>
      </c>
      <c r="CI147" s="1764" t="s">
        <v>5</v>
      </c>
      <c r="CJ147" s="1765"/>
      <c r="CK147" s="107">
        <f>CK16+CK29+CK42+CK55+CK68+CK81+CK94+CK107+CK120+CK133+CK146</f>
        <v>0</v>
      </c>
      <c r="CL147" s="107">
        <f>CL16+CL29+CL42+CL55+CL68+CL81+CL94+CL107+CL120+CL133+CL146</f>
        <v>0</v>
      </c>
      <c r="CM147" s="107">
        <f>CM16+CM29+CM42+CM55+CM68+CM81+CM94+CM107+CM120+CM133+CM146</f>
        <v>0</v>
      </c>
      <c r="CN147" s="107">
        <f>CN16+CN29+CN42+CN55+CN68+CN81+CN94+CN107+CN120+CN133+CN146</f>
        <v>0</v>
      </c>
      <c r="CO147" s="107">
        <f>CO146</f>
        <v>0</v>
      </c>
      <c r="CQ147" s="1764" t="s">
        <v>5</v>
      </c>
      <c r="CR147" s="1765"/>
      <c r="CS147" s="107">
        <f>CS16+CS29+CS42+CS55+CS68+CS81+CS94+CS107+CS120+CS133+CS146</f>
        <v>320389.05350949633</v>
      </c>
      <c r="CT147" s="107">
        <f>CT16+CT29+CT42+CT55+CT68+CT81+CT94+CT107+CT120+CT133+CT146</f>
        <v>276197.45992197952</v>
      </c>
      <c r="CU147" s="107">
        <f>CU16+CU29+CU42+CU55+CU68+CU81+CU94+CU107+CU120+CU133+CU146</f>
        <v>38532.76673057388</v>
      </c>
      <c r="CV147" s="107">
        <f>CV16+CV29+CV42+CV55+CV68+CV81+CV94+CV107+CV120+CV133+CV146</f>
        <v>69128.825442531088</v>
      </c>
      <c r="CW147" s="107">
        <f>CW146</f>
        <v>0</v>
      </c>
    </row>
  </sheetData>
  <mergeCells count="62">
    <mergeCell ref="CA2:CB2"/>
    <mergeCell ref="BC2:BD2"/>
    <mergeCell ref="B2:J2"/>
    <mergeCell ref="A40:A45"/>
    <mergeCell ref="AM2:AN2"/>
    <mergeCell ref="O2:P2"/>
    <mergeCell ref="W2:X2"/>
    <mergeCell ref="AE2:AF2"/>
    <mergeCell ref="A28:A33"/>
    <mergeCell ref="A34:A39"/>
    <mergeCell ref="AM147:AN147"/>
    <mergeCell ref="A46:A51"/>
    <mergeCell ref="O147:P147"/>
    <mergeCell ref="W147:X147"/>
    <mergeCell ref="AE147:AF147"/>
    <mergeCell ref="A76:A81"/>
    <mergeCell ref="CA147:CB147"/>
    <mergeCell ref="A52:A57"/>
    <mergeCell ref="CI2:CJ2"/>
    <mergeCell ref="CI147:CJ147"/>
    <mergeCell ref="A82:A87"/>
    <mergeCell ref="A88:A93"/>
    <mergeCell ref="BK2:BL2"/>
    <mergeCell ref="BK147:BL147"/>
    <mergeCell ref="A64:A69"/>
    <mergeCell ref="BS2:BT2"/>
    <mergeCell ref="BS147:BT147"/>
    <mergeCell ref="A70:A75"/>
    <mergeCell ref="AU2:AV2"/>
    <mergeCell ref="AU147:AV147"/>
    <mergeCell ref="BC147:BD147"/>
    <mergeCell ref="A58:A63"/>
    <mergeCell ref="CQ2:CR2"/>
    <mergeCell ref="CZ2:CZ4"/>
    <mergeCell ref="DA2:DA4"/>
    <mergeCell ref="DB2:DB4"/>
    <mergeCell ref="DC2:DC4"/>
    <mergeCell ref="DD2:DD4"/>
    <mergeCell ref="DE2:DE4"/>
    <mergeCell ref="DF2:DF4"/>
    <mergeCell ref="DG2:DG4"/>
    <mergeCell ref="DH2:DH4"/>
    <mergeCell ref="DI2:DI4"/>
    <mergeCell ref="DJ2:DJ4"/>
    <mergeCell ref="DK2:DK4"/>
    <mergeCell ref="DL2:DL4"/>
    <mergeCell ref="DM2:DM4"/>
    <mergeCell ref="DN2:DN4"/>
    <mergeCell ref="DO2:DS2"/>
    <mergeCell ref="DP3:DR3"/>
    <mergeCell ref="DS3:DS4"/>
    <mergeCell ref="DU17:DZ18"/>
    <mergeCell ref="DU19:DV19"/>
    <mergeCell ref="DU20:DV20"/>
    <mergeCell ref="DU21:DV21"/>
    <mergeCell ref="DU22:DV22"/>
    <mergeCell ref="DU23:DV23"/>
    <mergeCell ref="DU24:DV24"/>
    <mergeCell ref="DU25:DV25"/>
    <mergeCell ref="DU26:DV26"/>
    <mergeCell ref="DU27:DZ36"/>
    <mergeCell ref="CQ147:CR147"/>
  </mergeCells>
  <conditionalFormatting sqref="DO4:DR5 DO3:DP3">
    <cfRule type="duplicateValues" dxfId="0" priority="1"/>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35</vt:i4>
      </vt:variant>
    </vt:vector>
  </HeadingPairs>
  <TitlesOfParts>
    <vt:vector size="66" baseType="lpstr">
      <vt:lpstr>الهيئة</vt:lpstr>
      <vt:lpstr>التوصية</vt:lpstr>
      <vt:lpstr>RISK FORM</vt:lpstr>
      <vt:lpstr>كعاكيش</vt:lpstr>
      <vt:lpstr>ملخص old</vt:lpstr>
      <vt:lpstr>ملخص old1</vt:lpstr>
      <vt:lpstr>الأصل</vt:lpstr>
      <vt:lpstr>الحاسبة</vt:lpstr>
      <vt:lpstr>الحساب البنكي</vt:lpstr>
      <vt:lpstr>الاستعلام</vt:lpstr>
      <vt:lpstr>تحليل الائتمان</vt:lpstr>
      <vt:lpstr>بيانات للادخال</vt:lpstr>
      <vt:lpstr>مدخلات العقود</vt:lpstr>
      <vt:lpstr>تدقيق التوقيع</vt:lpstr>
      <vt:lpstr>عرض سعر + سند قبض</vt:lpstr>
      <vt:lpstr>جدول السداد</vt:lpstr>
      <vt:lpstr>تفقيط</vt:lpstr>
      <vt:lpstr>وكالة شراء العين</vt:lpstr>
      <vt:lpstr>عقود الزبون</vt:lpstr>
      <vt:lpstr>عقود الزبون والكفلاء</vt:lpstr>
      <vt:lpstr>الكمبيالات</vt:lpstr>
      <vt:lpstr>عقد التوريد</vt:lpstr>
      <vt:lpstr>rows height</vt:lpstr>
      <vt:lpstr>التسليم والقبول</vt:lpstr>
      <vt:lpstr>طلب الشيكات</vt:lpstr>
      <vt:lpstr>مرابحة الاسلامي العربي</vt:lpstr>
      <vt:lpstr>تفويض الترخيص</vt:lpstr>
      <vt:lpstr>تعهد بالدفع</vt:lpstr>
      <vt:lpstr>الحوالة</vt:lpstr>
      <vt:lpstr>معاير الائتمان</vt:lpstr>
      <vt:lpstr>تاريخ التعامل مع شركة الاجارة</vt:lpstr>
      <vt:lpstr>'وكالة شراء العين'!_DV_M127</vt:lpstr>
      <vt:lpstr>'وكالة شراء العين'!_DV_M132</vt:lpstr>
      <vt:lpstr>'وكالة شراء العين'!_DV_M133</vt:lpstr>
      <vt:lpstr>'وكالة شراء العين'!_DV_M84</vt:lpstr>
      <vt:lpstr>'وكالة شراء العين'!_Hlk508805426</vt:lpstr>
      <vt:lpstr>EUR</vt:lpstr>
      <vt:lpstr>eurrate</vt:lpstr>
      <vt:lpstr>FC</vt:lpstr>
      <vt:lpstr>FCA</vt:lpstr>
      <vt:lpstr>ILS</vt:lpstr>
      <vt:lpstr>jodrate</vt:lpstr>
      <vt:lpstr>الحاسبة!PNAVAT</vt:lpstr>
      <vt:lpstr>PNAVAT</vt:lpstr>
      <vt:lpstr>'rows height'!Print_Area</vt:lpstr>
      <vt:lpstr>'التسليم والقبول'!Print_Area</vt:lpstr>
      <vt:lpstr>التوصية!Print_Area</vt:lpstr>
      <vt:lpstr>الحاسبة!Print_Area</vt:lpstr>
      <vt:lpstr>الحوالة!Print_Area</vt:lpstr>
      <vt:lpstr>الكمبيالات!Print_Area</vt:lpstr>
      <vt:lpstr>'تحليل الائتمان'!Print_Area</vt:lpstr>
      <vt:lpstr>'تعهد بالدفع'!Print_Area</vt:lpstr>
      <vt:lpstr>'تفويض الترخيص'!Print_Area</vt:lpstr>
      <vt:lpstr>'جدول السداد'!Print_Area</vt:lpstr>
      <vt:lpstr>'عقد التوريد'!Print_Area</vt:lpstr>
      <vt:lpstr>'عقود الزبون'!Print_Area</vt:lpstr>
      <vt:lpstr>'عقود الزبون والكفلاء'!Print_Area</vt:lpstr>
      <vt:lpstr>'مرابحة الاسلامي العربي'!Print_Area</vt:lpstr>
      <vt:lpstr>'ملخص old'!Print_Area</vt:lpstr>
      <vt:lpstr>'ملخص old1'!Print_Area</vt:lpstr>
      <vt:lpstr>التوصية!Print_Titles</vt:lpstr>
      <vt:lpstr>'ملخص old'!Print_Titles</vt:lpstr>
      <vt:lpstr>'ملخص old1'!Print_Titles</vt:lpstr>
      <vt:lpstr>tenor</vt:lpstr>
      <vt:lpstr>USD</vt:lpstr>
      <vt:lpstr>usdrate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Waleed Kharoub</cp:lastModifiedBy>
  <cp:lastPrinted>2021-06-02T07:40:49Z</cp:lastPrinted>
  <dcterms:created xsi:type="dcterms:W3CDTF">2014-07-02T08:18:02Z</dcterms:created>
  <dcterms:modified xsi:type="dcterms:W3CDTF">2021-07-07T07:06:49Z</dcterms:modified>
</cp:coreProperties>
</file>